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filterPrivacy="1" codeName="ThisWorkbook" defaultThemeVersion="124226"/>
  <xr:revisionPtr revIDLastSave="0" documentId="13_ncr:1_{8F81579E-84A6-4BD5-9F6A-2FB3483B49C7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Inschrijving" sheetId="7" r:id="rId1"/>
    <sheet name="Groepsloting" sheetId="6" r:id="rId2"/>
    <sheet name="Stand Groepen" sheetId="2" r:id="rId3"/>
    <sheet name="Samenvatting" sheetId="9" r:id="rId4"/>
  </sheets>
  <definedNames>
    <definedName name="_xlnm._FilterDatabase" localSheetId="0" hidden="1">Inschrijving!$AO$112:$AX$112</definedName>
    <definedName name="_xlnm.Print_Area" localSheetId="0">Inschrijving!$A$1:$W$150</definedName>
    <definedName name="groepA">Groepsloting!$B$2:$B$5</definedName>
    <definedName name="groepAB">Inschrijving!$BE$76:$BE$83</definedName>
    <definedName name="groepABCDEF">Inschrijving!$BE$136:$BE$159</definedName>
    <definedName name="groepABCDEFGHI">Inschrijving!$BF$90:$BF$125</definedName>
    <definedName name="groepABCDF">Inschrijving!$BE$136:$BE$159</definedName>
    <definedName name="groepABCF">Inschrijving!$BF$76:$BF$87</definedName>
    <definedName name="groepABDEFGHIJ">Inschrijving!$BF$202:$BF$237</definedName>
    <definedName name="groepABDEFGHIJKL">Inschrijving!$BF$300:$BF$343</definedName>
    <definedName name="groepACEFHI">Inschrijving!$BE$188:$BE$211</definedName>
    <definedName name="groepACEFHIJKL">Inschrijving!$BF$146:$BF$181</definedName>
    <definedName name="groepAEGHIJ">Inschrijving!$BE$240:$BE$263</definedName>
    <definedName name="groepAEHIJ">Inschrijving!$BE$240:$BE$263</definedName>
    <definedName name="groepB">Groepsloting!$B$8:$B$11</definedName>
    <definedName name="groepBDEFGHIJKL">Inschrijving!$BF$258:$BF$297</definedName>
    <definedName name="groepBDEFIJ">Inschrijving!$BE$266:$BE$289</definedName>
    <definedName name="groepBEFGIJ">Inschrijving!$BE$292:$BE$315</definedName>
    <definedName name="groepBEFIJ">Inschrijving!$BD$266:$BD$285</definedName>
    <definedName name="groepBGJH">Inschrijving!$BF$240:$BF$255</definedName>
    <definedName name="groepC">Groepsloting!$B$14:$B$17</definedName>
    <definedName name="groepCDFGH">Inschrijving!$BD$162:$BD$181</definedName>
    <definedName name="groepCDFGHI">Inschrijving!$BE$162:$BE$185</definedName>
    <definedName name="groepCEFHI">Inschrijving!$BE$192:$BE$211</definedName>
    <definedName name="groepCEFI">Inschrijving!$BF$128:$BF$143</definedName>
    <definedName name="groepCF">Inschrijving!$BE$86:$BE$93</definedName>
    <definedName name="groepD">Groepsloting!$B$20:$B$23</definedName>
    <definedName name="groepDEIJKL">Inschrijving!$BE$318:$BE$341</definedName>
    <definedName name="groepDEIJL">Inschrijving!$BD$318:$BD$337</definedName>
    <definedName name="groepDG">Inschrijving!$BE$96:$BE$103</definedName>
    <definedName name="groepE">Groepsloting!$B$26:$B$29</definedName>
    <definedName name="groepEFGIJ">Inschrijving!$BD$292:$BD$311</definedName>
    <definedName name="groepEHIJK">Inschrijving!$BD$214:$BD$233</definedName>
    <definedName name="groepEHIJKL">Inschrijving!$BE$214:$BE$237</definedName>
    <definedName name="groepEI">Inschrijving!$BE$106:$BE$113</definedName>
    <definedName name="groepF">Groepsloting!$B$32:$B$35</definedName>
    <definedName name="groepG">Groepsloting!$B$38:$B$41</definedName>
    <definedName name="groepH">Groepsloting!$B$44:$B$47</definedName>
    <definedName name="groepHJ">Inschrijving!$BE$116:$BE$123</definedName>
    <definedName name="groepHJKL">Inschrijving!$BF$184:$BF$199</definedName>
    <definedName name="groepI">Groepsloting!$B$50:$B$53</definedName>
    <definedName name="groepJ">Groepsloting!$B$56:$B$59</definedName>
    <definedName name="groepK">Groepsloting!$B$62:$B$65</definedName>
    <definedName name="groepKL">Inschrijving!$BE$126:$BE$133</definedName>
    <definedName name="groepL">Groepsloting!$B$68:$B$71</definedName>
    <definedName name="Landen">Groepsloting!$B$238:$B$287</definedName>
    <definedName name="score">Groepsloting!$B$295:$B$310</definedName>
    <definedName name="toto">Groepsloting!$B$295:$B$298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49" i="9" l="1"/>
  <c r="E243" i="9"/>
  <c r="E241" i="9"/>
  <c r="E239" i="9"/>
  <c r="A72" i="2"/>
  <c r="A71" i="2"/>
  <c r="A70" i="2"/>
  <c r="A69" i="2"/>
  <c r="G68" i="2"/>
  <c r="F68" i="2"/>
  <c r="E68" i="2"/>
  <c r="D68" i="2"/>
  <c r="C68" i="2"/>
  <c r="B68" i="2"/>
  <c r="A66" i="2"/>
  <c r="A65" i="2"/>
  <c r="A64" i="2"/>
  <c r="A63" i="2"/>
  <c r="G62" i="2"/>
  <c r="F62" i="2"/>
  <c r="E62" i="2"/>
  <c r="D62" i="2"/>
  <c r="C62" i="2"/>
  <c r="B62" i="2"/>
  <c r="A60" i="2"/>
  <c r="A59" i="2"/>
  <c r="A58" i="2"/>
  <c r="A57" i="2"/>
  <c r="G56" i="2"/>
  <c r="F56" i="2"/>
  <c r="E56" i="2"/>
  <c r="D56" i="2"/>
  <c r="C56" i="2"/>
  <c r="B56" i="2"/>
  <c r="A54" i="2"/>
  <c r="A53" i="2"/>
  <c r="A52" i="2"/>
  <c r="A51" i="2"/>
  <c r="G50" i="2"/>
  <c r="F50" i="2"/>
  <c r="E50" i="2"/>
  <c r="D50" i="2"/>
  <c r="C50" i="2"/>
  <c r="B50" i="2"/>
  <c r="A5" i="9"/>
  <c r="A6" i="9"/>
  <c r="A7" i="9"/>
  <c r="A8" i="9"/>
  <c r="A9" i="9"/>
  <c r="A12" i="9"/>
  <c r="A13" i="9"/>
  <c r="A14" i="9"/>
  <c r="A15" i="9"/>
  <c r="A16" i="9"/>
  <c r="A17" i="9"/>
  <c r="A20" i="9"/>
  <c r="A21" i="9"/>
  <c r="A22" i="9"/>
  <c r="A23" i="9"/>
  <c r="A24" i="9"/>
  <c r="A25" i="9"/>
  <c r="A28" i="9"/>
  <c r="A29" i="9"/>
  <c r="A30" i="9"/>
  <c r="A31" i="9"/>
  <c r="A32" i="9"/>
  <c r="A33" i="9"/>
  <c r="A36" i="9"/>
  <c r="A37" i="9"/>
  <c r="A38" i="9"/>
  <c r="A39" i="9"/>
  <c r="A40" i="9"/>
  <c r="A41" i="9"/>
  <c r="A44" i="9"/>
  <c r="A45" i="9"/>
  <c r="A46" i="9"/>
  <c r="A47" i="9"/>
  <c r="A48" i="9"/>
  <c r="A49" i="9"/>
  <c r="A52" i="9"/>
  <c r="A53" i="9"/>
  <c r="A54" i="9"/>
  <c r="A55" i="9"/>
  <c r="A56" i="9"/>
  <c r="A57" i="9"/>
  <c r="A60" i="9"/>
  <c r="A61" i="9"/>
  <c r="A62" i="9"/>
  <c r="A63" i="9"/>
  <c r="A64" i="9"/>
  <c r="A65" i="9"/>
  <c r="A68" i="9"/>
  <c r="A69" i="9"/>
  <c r="A70" i="9"/>
  <c r="A71" i="9"/>
  <c r="A72" i="9"/>
  <c r="A73" i="9"/>
  <c r="A76" i="9"/>
  <c r="A77" i="9"/>
  <c r="A78" i="9"/>
  <c r="A79" i="9"/>
  <c r="A80" i="9"/>
  <c r="A81" i="9"/>
  <c r="A84" i="9"/>
  <c r="A85" i="9"/>
  <c r="A86" i="9"/>
  <c r="A87" i="9"/>
  <c r="A88" i="9"/>
  <c r="A89" i="9"/>
  <c r="A92" i="9"/>
  <c r="A93" i="9"/>
  <c r="A94" i="9"/>
  <c r="A95" i="9"/>
  <c r="A96" i="9"/>
  <c r="A97" i="9"/>
  <c r="A101" i="9"/>
  <c r="A102" i="9"/>
  <c r="A103" i="9"/>
  <c r="A104" i="9"/>
  <c r="A105" i="9"/>
  <c r="A106" i="9"/>
  <c r="A107" i="9"/>
  <c r="A108" i="9"/>
  <c r="A109" i="9"/>
  <c r="A110" i="9"/>
  <c r="A111" i="9"/>
  <c r="A112" i="9"/>
  <c r="A113" i="9"/>
  <c r="A114" i="9"/>
  <c r="A115" i="9"/>
  <c r="A116" i="9"/>
  <c r="A120" i="9"/>
  <c r="A121" i="9"/>
  <c r="A122" i="9"/>
  <c r="A123" i="9"/>
  <c r="A124" i="9"/>
  <c r="A125" i="9"/>
  <c r="A126" i="9"/>
  <c r="A127" i="9"/>
  <c r="A131" i="9"/>
  <c r="A132" i="9"/>
  <c r="A133" i="9"/>
  <c r="A134" i="9"/>
  <c r="A138" i="9"/>
  <c r="A139" i="9"/>
  <c r="A143" i="9"/>
  <c r="A147" i="9"/>
  <c r="A4" i="9"/>
  <c r="H253" i="9" l="1"/>
  <c r="E245" i="9"/>
  <c r="I116" i="9" l="1"/>
  <c r="I115" i="9"/>
  <c r="I114" i="9"/>
  <c r="I113" i="9"/>
  <c r="I112" i="9"/>
  <c r="I111" i="9"/>
  <c r="I110" i="9"/>
  <c r="I109" i="9"/>
  <c r="I108" i="9"/>
  <c r="I107" i="9"/>
  <c r="I106" i="9"/>
  <c r="I105" i="9"/>
  <c r="I104" i="9"/>
  <c r="I103" i="9"/>
  <c r="I102" i="9"/>
  <c r="I101" i="9"/>
  <c r="C120" i="9"/>
  <c r="E120" i="9"/>
  <c r="F120" i="9"/>
  <c r="G120" i="9"/>
  <c r="C121" i="9"/>
  <c r="E121" i="9"/>
  <c r="F121" i="9"/>
  <c r="G121" i="9"/>
  <c r="C122" i="9"/>
  <c r="E122" i="9"/>
  <c r="F122" i="9"/>
  <c r="G122" i="9"/>
  <c r="C123" i="9"/>
  <c r="E123" i="9"/>
  <c r="F123" i="9"/>
  <c r="G123" i="9"/>
  <c r="C124" i="9"/>
  <c r="E124" i="9"/>
  <c r="F124" i="9"/>
  <c r="G124" i="9"/>
  <c r="C125" i="9"/>
  <c r="E125" i="9"/>
  <c r="F125" i="9"/>
  <c r="G125" i="9"/>
  <c r="C126" i="9"/>
  <c r="E126" i="9"/>
  <c r="F126" i="9"/>
  <c r="G126" i="9"/>
  <c r="C127" i="9"/>
  <c r="E127" i="9"/>
  <c r="F127" i="9"/>
  <c r="G127" i="9"/>
  <c r="I120" i="9"/>
  <c r="I121" i="9"/>
  <c r="I122" i="9"/>
  <c r="I123" i="9"/>
  <c r="I124" i="9"/>
  <c r="I125" i="9"/>
  <c r="I126" i="9"/>
  <c r="G116" i="9"/>
  <c r="F116" i="9"/>
  <c r="E116" i="9"/>
  <c r="C116" i="9"/>
  <c r="G115" i="9"/>
  <c r="F115" i="9"/>
  <c r="E115" i="9"/>
  <c r="C115" i="9"/>
  <c r="G114" i="9"/>
  <c r="F114" i="9"/>
  <c r="E114" i="9"/>
  <c r="C114" i="9"/>
  <c r="G113" i="9"/>
  <c r="F113" i="9"/>
  <c r="E113" i="9"/>
  <c r="C113" i="9"/>
  <c r="G112" i="9"/>
  <c r="F112" i="9"/>
  <c r="E112" i="9"/>
  <c r="C112" i="9"/>
  <c r="G111" i="9"/>
  <c r="F111" i="9"/>
  <c r="E111" i="9"/>
  <c r="C111" i="9"/>
  <c r="G110" i="9"/>
  <c r="F110" i="9"/>
  <c r="E110" i="9"/>
  <c r="C110" i="9"/>
  <c r="G109" i="9"/>
  <c r="F109" i="9"/>
  <c r="E109" i="9"/>
  <c r="C109" i="9"/>
  <c r="G108" i="9"/>
  <c r="F108" i="9"/>
  <c r="E108" i="9"/>
  <c r="C108" i="9"/>
  <c r="G107" i="9"/>
  <c r="F107" i="9"/>
  <c r="E107" i="9"/>
  <c r="C107" i="9"/>
  <c r="G106" i="9"/>
  <c r="F106" i="9"/>
  <c r="E106" i="9"/>
  <c r="C106" i="9"/>
  <c r="G105" i="9"/>
  <c r="F105" i="9"/>
  <c r="E105" i="9"/>
  <c r="C105" i="9"/>
  <c r="G104" i="9"/>
  <c r="F104" i="9"/>
  <c r="E104" i="9"/>
  <c r="C104" i="9"/>
  <c r="G103" i="9"/>
  <c r="F103" i="9"/>
  <c r="E103" i="9"/>
  <c r="C103" i="9"/>
  <c r="G102" i="9"/>
  <c r="F102" i="9"/>
  <c r="E102" i="9"/>
  <c r="C102" i="9"/>
  <c r="G101" i="9"/>
  <c r="F101" i="9"/>
  <c r="E101" i="9"/>
  <c r="C101" i="9"/>
  <c r="G97" i="9"/>
  <c r="F97" i="9"/>
  <c r="E97" i="9"/>
  <c r="C97" i="9"/>
  <c r="G96" i="9"/>
  <c r="F96" i="9"/>
  <c r="E96" i="9"/>
  <c r="C96" i="9"/>
  <c r="G95" i="9"/>
  <c r="F95" i="9"/>
  <c r="E95" i="9"/>
  <c r="C95" i="9"/>
  <c r="G94" i="9"/>
  <c r="F94" i="9"/>
  <c r="E94" i="9"/>
  <c r="C94" i="9"/>
  <c r="G93" i="9"/>
  <c r="F93" i="9"/>
  <c r="E93" i="9"/>
  <c r="C93" i="9"/>
  <c r="G92" i="9"/>
  <c r="F92" i="9"/>
  <c r="E92" i="9"/>
  <c r="C92" i="9"/>
  <c r="G89" i="9"/>
  <c r="F89" i="9"/>
  <c r="E89" i="9"/>
  <c r="C89" i="9"/>
  <c r="G88" i="9"/>
  <c r="F88" i="9"/>
  <c r="E88" i="9"/>
  <c r="C88" i="9"/>
  <c r="G87" i="9"/>
  <c r="F87" i="9"/>
  <c r="E87" i="9"/>
  <c r="C87" i="9"/>
  <c r="G86" i="9"/>
  <c r="F86" i="9"/>
  <c r="E86" i="9"/>
  <c r="C86" i="9"/>
  <c r="G85" i="9"/>
  <c r="F85" i="9"/>
  <c r="E85" i="9"/>
  <c r="C85" i="9"/>
  <c r="G84" i="9"/>
  <c r="F84" i="9"/>
  <c r="E84" i="9"/>
  <c r="C84" i="9"/>
  <c r="G81" i="9"/>
  <c r="F81" i="9"/>
  <c r="E81" i="9"/>
  <c r="C81" i="9"/>
  <c r="G80" i="9"/>
  <c r="F80" i="9"/>
  <c r="E80" i="9"/>
  <c r="C80" i="9"/>
  <c r="G79" i="9"/>
  <c r="F79" i="9"/>
  <c r="E79" i="9"/>
  <c r="C79" i="9"/>
  <c r="G78" i="9"/>
  <c r="F78" i="9"/>
  <c r="E78" i="9"/>
  <c r="C78" i="9"/>
  <c r="G77" i="9"/>
  <c r="F77" i="9"/>
  <c r="E77" i="9"/>
  <c r="C77" i="9"/>
  <c r="G76" i="9"/>
  <c r="F76" i="9"/>
  <c r="E76" i="9"/>
  <c r="C76" i="9"/>
  <c r="G73" i="9"/>
  <c r="F73" i="9"/>
  <c r="E73" i="9"/>
  <c r="C73" i="9"/>
  <c r="G72" i="9"/>
  <c r="F72" i="9"/>
  <c r="E72" i="9"/>
  <c r="C72" i="9"/>
  <c r="G71" i="9"/>
  <c r="F71" i="9"/>
  <c r="E71" i="9"/>
  <c r="C71" i="9"/>
  <c r="G70" i="9"/>
  <c r="F70" i="9"/>
  <c r="E70" i="9"/>
  <c r="C70" i="9"/>
  <c r="G69" i="9"/>
  <c r="F69" i="9"/>
  <c r="E69" i="9"/>
  <c r="C69" i="9"/>
  <c r="G68" i="9"/>
  <c r="F68" i="9"/>
  <c r="E68" i="9"/>
  <c r="C68" i="9"/>
  <c r="H109" i="6"/>
  <c r="H110" i="6" s="1"/>
  <c r="F109" i="6"/>
  <c r="F110" i="6" s="1"/>
  <c r="H106" i="6"/>
  <c r="H107" i="6" s="1"/>
  <c r="F106" i="6"/>
  <c r="F107" i="6" s="1"/>
  <c r="H103" i="6"/>
  <c r="H104" i="6" s="1"/>
  <c r="F103" i="6"/>
  <c r="F104" i="6" s="1"/>
  <c r="H100" i="6"/>
  <c r="H101" i="6" s="1"/>
  <c r="F100" i="6"/>
  <c r="F101" i="6" s="1"/>
  <c r="D109" i="6"/>
  <c r="D110" i="6" s="1"/>
  <c r="D106" i="6"/>
  <c r="D107" i="6" s="1"/>
  <c r="D103" i="6"/>
  <c r="D104" i="6" s="1"/>
  <c r="D100" i="6"/>
  <c r="D101" i="6" s="1"/>
  <c r="E264" i="6" l="1"/>
  <c r="F264" i="6"/>
  <c r="G264" i="6"/>
  <c r="H264" i="6"/>
  <c r="E285" i="6"/>
  <c r="F285" i="6"/>
  <c r="G285" i="6"/>
  <c r="H285" i="6"/>
  <c r="E286" i="6"/>
  <c r="F286" i="6"/>
  <c r="G286" i="6"/>
  <c r="H286" i="6"/>
  <c r="E248" i="6"/>
  <c r="F248" i="6"/>
  <c r="G248" i="6"/>
  <c r="H248" i="6"/>
  <c r="E245" i="6"/>
  <c r="F245" i="6"/>
  <c r="G245" i="6"/>
  <c r="H245" i="6"/>
  <c r="E275" i="6"/>
  <c r="F275" i="6"/>
  <c r="G275" i="6"/>
  <c r="H275" i="6"/>
  <c r="E287" i="6"/>
  <c r="F287" i="6"/>
  <c r="G287" i="6"/>
  <c r="H287" i="6"/>
  <c r="E257" i="6"/>
  <c r="F257" i="6"/>
  <c r="G257" i="6"/>
  <c r="H257" i="6"/>
  <c r="E244" i="6"/>
  <c r="F244" i="6"/>
  <c r="G244" i="6"/>
  <c r="H244" i="6"/>
  <c r="E263" i="6"/>
  <c r="F263" i="6"/>
  <c r="G263" i="6"/>
  <c r="H263" i="6"/>
  <c r="E255" i="6"/>
  <c r="F255" i="6"/>
  <c r="G255" i="6"/>
  <c r="H255" i="6"/>
  <c r="E277" i="6"/>
  <c r="F277" i="6"/>
  <c r="G277" i="6"/>
  <c r="H277" i="6"/>
  <c r="E284" i="6"/>
  <c r="F284" i="6"/>
  <c r="G284" i="6"/>
  <c r="H284" i="6"/>
  <c r="E273" i="6"/>
  <c r="F273" i="6"/>
  <c r="G273" i="6"/>
  <c r="H273" i="6"/>
  <c r="E241" i="6"/>
  <c r="F241" i="6"/>
  <c r="G241" i="6"/>
  <c r="H241" i="6"/>
  <c r="E281" i="6"/>
  <c r="F281" i="6"/>
  <c r="G281" i="6"/>
  <c r="H281" i="6"/>
  <c r="E249" i="6"/>
  <c r="F249" i="6"/>
  <c r="G249" i="6"/>
  <c r="H249" i="6"/>
  <c r="E247" i="6"/>
  <c r="F247" i="6"/>
  <c r="G247" i="6"/>
  <c r="H247" i="6"/>
  <c r="E258" i="6"/>
  <c r="F258" i="6"/>
  <c r="G258" i="6"/>
  <c r="H258" i="6"/>
  <c r="E250" i="6"/>
  <c r="F250" i="6"/>
  <c r="G250" i="6"/>
  <c r="H250" i="6"/>
  <c r="E266" i="6"/>
  <c r="F266" i="6"/>
  <c r="G266" i="6"/>
  <c r="H266" i="6"/>
  <c r="E259" i="6"/>
  <c r="F259" i="6"/>
  <c r="G259" i="6"/>
  <c r="H259" i="6"/>
  <c r="E280" i="6"/>
  <c r="F280" i="6"/>
  <c r="G280" i="6"/>
  <c r="H280" i="6"/>
  <c r="E282" i="6"/>
  <c r="F282" i="6"/>
  <c r="G282" i="6"/>
  <c r="H282" i="6"/>
  <c r="E242" i="6"/>
  <c r="F242" i="6"/>
  <c r="G242" i="6"/>
  <c r="H242" i="6"/>
  <c r="E251" i="6"/>
  <c r="F251" i="6"/>
  <c r="G251" i="6"/>
  <c r="H251" i="6"/>
  <c r="E256" i="6"/>
  <c r="F256" i="6"/>
  <c r="G256" i="6"/>
  <c r="H256" i="6"/>
  <c r="E268" i="6"/>
  <c r="F268" i="6"/>
  <c r="G268" i="6"/>
  <c r="H268" i="6"/>
  <c r="E279" i="6"/>
  <c r="F279" i="6"/>
  <c r="G279" i="6"/>
  <c r="H279" i="6"/>
  <c r="E261" i="6"/>
  <c r="F261" i="6"/>
  <c r="G261" i="6"/>
  <c r="H261" i="6"/>
  <c r="E276" i="6"/>
  <c r="F276" i="6"/>
  <c r="G276" i="6"/>
  <c r="H276" i="6"/>
  <c r="E283" i="6"/>
  <c r="F283" i="6"/>
  <c r="G283" i="6"/>
  <c r="H283" i="6"/>
  <c r="E243" i="6"/>
  <c r="F243" i="6"/>
  <c r="G243" i="6"/>
  <c r="H243" i="6"/>
  <c r="E253" i="6"/>
  <c r="F253" i="6"/>
  <c r="G253" i="6"/>
  <c r="H253" i="6"/>
  <c r="E278" i="6"/>
  <c r="F278" i="6"/>
  <c r="G278" i="6"/>
  <c r="H278" i="6"/>
  <c r="E269" i="6"/>
  <c r="F269" i="6"/>
  <c r="G269" i="6"/>
  <c r="H269" i="6"/>
  <c r="E240" i="6"/>
  <c r="F240" i="6"/>
  <c r="G240" i="6"/>
  <c r="H240" i="6"/>
  <c r="E239" i="6"/>
  <c r="F239" i="6"/>
  <c r="G239" i="6"/>
  <c r="H239" i="6"/>
  <c r="E271" i="6"/>
  <c r="F271" i="6"/>
  <c r="G271" i="6"/>
  <c r="H271" i="6"/>
  <c r="E260" i="6"/>
  <c r="F260" i="6"/>
  <c r="G260" i="6"/>
  <c r="H260" i="6"/>
  <c r="E265" i="6"/>
  <c r="F265" i="6"/>
  <c r="G265" i="6"/>
  <c r="H265" i="6"/>
  <c r="E274" i="6"/>
  <c r="F274" i="6"/>
  <c r="G274" i="6"/>
  <c r="H274" i="6"/>
  <c r="E270" i="6"/>
  <c r="F270" i="6"/>
  <c r="G270" i="6"/>
  <c r="H270" i="6"/>
  <c r="E246" i="6"/>
  <c r="F246" i="6"/>
  <c r="G246" i="6"/>
  <c r="H246" i="6"/>
  <c r="E252" i="6"/>
  <c r="F252" i="6"/>
  <c r="G252" i="6"/>
  <c r="H252" i="6"/>
  <c r="E262" i="6"/>
  <c r="F262" i="6"/>
  <c r="G262" i="6"/>
  <c r="H262" i="6"/>
  <c r="E254" i="6"/>
  <c r="F254" i="6"/>
  <c r="G254" i="6"/>
  <c r="H254" i="6"/>
  <c r="E272" i="6"/>
  <c r="F272" i="6"/>
  <c r="G272" i="6"/>
  <c r="H272" i="6"/>
  <c r="D272" i="6"/>
  <c r="D254" i="6"/>
  <c r="D262" i="6"/>
  <c r="D252" i="6"/>
  <c r="D246" i="6"/>
  <c r="D270" i="6"/>
  <c r="D274" i="6"/>
  <c r="D265" i="6"/>
  <c r="D260" i="6"/>
  <c r="D271" i="6"/>
  <c r="D239" i="6"/>
  <c r="D240" i="6"/>
  <c r="D269" i="6"/>
  <c r="D278" i="6"/>
  <c r="D253" i="6"/>
  <c r="D243" i="6"/>
  <c r="D283" i="6"/>
  <c r="D276" i="6"/>
  <c r="D261" i="6"/>
  <c r="D279" i="6"/>
  <c r="D268" i="6"/>
  <c r="D256" i="6"/>
  <c r="D251" i="6"/>
  <c r="D242" i="6"/>
  <c r="D282" i="6"/>
  <c r="D280" i="6"/>
  <c r="D259" i="6"/>
  <c r="D266" i="6"/>
  <c r="D250" i="6"/>
  <c r="D258" i="6"/>
  <c r="D247" i="6"/>
  <c r="D249" i="6"/>
  <c r="D281" i="6"/>
  <c r="D241" i="6"/>
  <c r="D273" i="6"/>
  <c r="D284" i="6"/>
  <c r="D277" i="6"/>
  <c r="D255" i="6"/>
  <c r="D263" i="6"/>
  <c r="D244" i="6"/>
  <c r="D257" i="6"/>
  <c r="D287" i="6"/>
  <c r="D275" i="6"/>
  <c r="D245" i="6"/>
  <c r="D248" i="6"/>
  <c r="D286" i="6"/>
  <c r="D285" i="6"/>
  <c r="D264" i="6"/>
  <c r="AK97" i="7" l="1"/>
  <c r="AJ97" i="7"/>
  <c r="AI97" i="7"/>
  <c r="AK96" i="7"/>
  <c r="AJ96" i="7"/>
  <c r="AI96" i="7"/>
  <c r="AK95" i="7"/>
  <c r="AJ95" i="7"/>
  <c r="AI95" i="7"/>
  <c r="AK94" i="7"/>
  <c r="AJ94" i="7"/>
  <c r="AI94" i="7"/>
  <c r="AK93" i="7"/>
  <c r="AJ93" i="7"/>
  <c r="AI93" i="7"/>
  <c r="AK92" i="7"/>
  <c r="AJ92" i="7"/>
  <c r="AI92" i="7"/>
  <c r="AK89" i="7"/>
  <c r="AJ89" i="7"/>
  <c r="AI89" i="7"/>
  <c r="AK88" i="7"/>
  <c r="AJ88" i="7"/>
  <c r="AI88" i="7"/>
  <c r="AK87" i="7"/>
  <c r="AJ87" i="7"/>
  <c r="AI87" i="7"/>
  <c r="AK86" i="7"/>
  <c r="AJ86" i="7"/>
  <c r="AI86" i="7"/>
  <c r="AK85" i="7"/>
  <c r="AJ85" i="7"/>
  <c r="AI85" i="7"/>
  <c r="AK84" i="7"/>
  <c r="AJ84" i="7"/>
  <c r="AI84" i="7"/>
  <c r="AK81" i="7"/>
  <c r="AJ81" i="7"/>
  <c r="AI81" i="7"/>
  <c r="AK80" i="7"/>
  <c r="AJ80" i="7"/>
  <c r="AI80" i="7"/>
  <c r="AK79" i="7"/>
  <c r="AJ79" i="7"/>
  <c r="AI79" i="7"/>
  <c r="AK78" i="7"/>
  <c r="AJ78" i="7"/>
  <c r="AI78" i="7"/>
  <c r="AK77" i="7"/>
  <c r="AJ77" i="7"/>
  <c r="AI77" i="7"/>
  <c r="AK76" i="7"/>
  <c r="AJ76" i="7"/>
  <c r="AI76" i="7"/>
  <c r="AK73" i="7"/>
  <c r="AJ73" i="7"/>
  <c r="AI73" i="7"/>
  <c r="AK72" i="7"/>
  <c r="AJ72" i="7"/>
  <c r="AI72" i="7"/>
  <c r="AK71" i="7"/>
  <c r="AJ71" i="7"/>
  <c r="AI71" i="7"/>
  <c r="AK70" i="7"/>
  <c r="AJ70" i="7"/>
  <c r="AI70" i="7"/>
  <c r="AK69" i="7"/>
  <c r="AJ69" i="7"/>
  <c r="AI69" i="7"/>
  <c r="AK68" i="7"/>
  <c r="AJ68" i="7"/>
  <c r="AI68" i="7"/>
  <c r="AK65" i="7"/>
  <c r="AJ65" i="7"/>
  <c r="AI65" i="7"/>
  <c r="AK64" i="7"/>
  <c r="AJ64" i="7"/>
  <c r="AI64" i="7"/>
  <c r="AK63" i="7"/>
  <c r="AJ63" i="7"/>
  <c r="AI63" i="7"/>
  <c r="AK62" i="7"/>
  <c r="AJ62" i="7"/>
  <c r="AI62" i="7"/>
  <c r="AK61" i="7"/>
  <c r="AJ61" i="7"/>
  <c r="AI61" i="7"/>
  <c r="AK60" i="7"/>
  <c r="AJ60" i="7"/>
  <c r="AI60" i="7"/>
  <c r="AK57" i="7"/>
  <c r="AJ57" i="7"/>
  <c r="AI57" i="7"/>
  <c r="AK56" i="7"/>
  <c r="AJ56" i="7"/>
  <c r="AI56" i="7"/>
  <c r="AK55" i="7"/>
  <c r="AJ55" i="7"/>
  <c r="AI55" i="7"/>
  <c r="AK54" i="7"/>
  <c r="AJ54" i="7"/>
  <c r="AI54" i="7"/>
  <c r="AK53" i="7"/>
  <c r="AJ53" i="7"/>
  <c r="AI53" i="7"/>
  <c r="AK52" i="7"/>
  <c r="AJ52" i="7"/>
  <c r="AI52" i="7"/>
  <c r="J116" i="7"/>
  <c r="J115" i="7"/>
  <c r="J114" i="7"/>
  <c r="J113" i="7"/>
  <c r="J112" i="7"/>
  <c r="J111" i="7"/>
  <c r="J110" i="7"/>
  <c r="J109" i="7"/>
  <c r="J108" i="7"/>
  <c r="J107" i="7"/>
  <c r="J106" i="7"/>
  <c r="J105" i="7"/>
  <c r="J104" i="7"/>
  <c r="J103" i="7"/>
  <c r="J102" i="7"/>
  <c r="J101" i="7"/>
  <c r="J81" i="7"/>
  <c r="H81" i="9" s="1"/>
  <c r="J80" i="7"/>
  <c r="H80" i="9" s="1"/>
  <c r="J79" i="7"/>
  <c r="H79" i="9" s="1"/>
  <c r="J78" i="7"/>
  <c r="H78" i="9" s="1"/>
  <c r="J77" i="7"/>
  <c r="H77" i="9" s="1"/>
  <c r="J76" i="7"/>
  <c r="H76" i="9" s="1"/>
  <c r="J73" i="7"/>
  <c r="H73" i="9" s="1"/>
  <c r="J72" i="7"/>
  <c r="H72" i="9" s="1"/>
  <c r="J71" i="7"/>
  <c r="H71" i="9" s="1"/>
  <c r="J70" i="7"/>
  <c r="H70" i="9" s="1"/>
  <c r="J69" i="7"/>
  <c r="H69" i="9" s="1"/>
  <c r="J68" i="7"/>
  <c r="H68" i="9" s="1"/>
  <c r="J97" i="7"/>
  <c r="H97" i="9" s="1"/>
  <c r="J96" i="7"/>
  <c r="H96" i="9" s="1"/>
  <c r="J95" i="7"/>
  <c r="H95" i="9" s="1"/>
  <c r="J94" i="7"/>
  <c r="H94" i="9" s="1"/>
  <c r="J93" i="7"/>
  <c r="H93" i="9" s="1"/>
  <c r="J92" i="7"/>
  <c r="H92" i="9" s="1"/>
  <c r="J89" i="7"/>
  <c r="H89" i="9" s="1"/>
  <c r="J88" i="7"/>
  <c r="H88" i="9" s="1"/>
  <c r="J87" i="7"/>
  <c r="H87" i="9" s="1"/>
  <c r="J86" i="7"/>
  <c r="H86" i="9" s="1"/>
  <c r="J85" i="7"/>
  <c r="H85" i="9" s="1"/>
  <c r="J84" i="7"/>
  <c r="H84" i="9" s="1"/>
  <c r="BB683" i="7"/>
  <c r="BA683" i="7"/>
  <c r="AZ683" i="7"/>
  <c r="AY700" i="7"/>
  <c r="BB682" i="7"/>
  <c r="BA682" i="7"/>
  <c r="AZ682" i="7"/>
  <c r="AY699" i="7"/>
  <c r="BE709" i="7"/>
  <c r="BC685" i="7"/>
  <c r="BB681" i="7"/>
  <c r="BA681" i="7"/>
  <c r="BE708" i="7"/>
  <c r="BC684" i="7"/>
  <c r="BB680" i="7"/>
  <c r="BA680" i="7"/>
  <c r="BE707" i="7"/>
  <c r="BC683" i="7"/>
  <c r="BB679" i="7"/>
  <c r="BA679" i="7"/>
  <c r="BE706" i="7"/>
  <c r="BC682" i="7"/>
  <c r="BB678" i="7"/>
  <c r="BA678" i="7"/>
  <c r="BE705" i="7"/>
  <c r="BC681" i="7"/>
  <c r="BB677" i="7"/>
  <c r="BA677" i="7"/>
  <c r="BE704" i="7"/>
  <c r="BC680" i="7"/>
  <c r="BB676" i="7"/>
  <c r="BA676" i="7"/>
  <c r="BE703" i="7"/>
  <c r="BC679" i="7"/>
  <c r="BB675" i="7"/>
  <c r="BA675" i="7"/>
  <c r="BE695" i="7"/>
  <c r="BE694" i="7"/>
  <c r="BE693" i="7"/>
  <c r="BE692" i="7"/>
  <c r="H115" i="9" l="1"/>
  <c r="H101" i="9"/>
  <c r="H114" i="9"/>
  <c r="H116" i="9"/>
  <c r="H104" i="9"/>
  <c r="H105" i="9"/>
  <c r="H106" i="9"/>
  <c r="H107" i="9"/>
  <c r="H113" i="9"/>
  <c r="H108" i="9"/>
  <c r="H102" i="9"/>
  <c r="H109" i="9"/>
  <c r="H110" i="9"/>
  <c r="H103" i="9"/>
  <c r="H111" i="9"/>
  <c r="H112" i="9"/>
  <c r="E251" i="9"/>
  <c r="E247" i="9"/>
  <c r="BF2" i="7" l="1"/>
  <c r="C5" i="9" l="1"/>
  <c r="E5" i="9"/>
  <c r="F5" i="9"/>
  <c r="G5" i="9"/>
  <c r="C6" i="9"/>
  <c r="E6" i="9"/>
  <c r="F6" i="9"/>
  <c r="G6" i="9"/>
  <c r="C7" i="9"/>
  <c r="E7" i="9"/>
  <c r="F7" i="9"/>
  <c r="G7" i="9"/>
  <c r="C8" i="9"/>
  <c r="E8" i="9"/>
  <c r="F8" i="9"/>
  <c r="G8" i="9"/>
  <c r="C9" i="9"/>
  <c r="E9" i="9"/>
  <c r="F9" i="9"/>
  <c r="G9" i="9"/>
  <c r="C12" i="9"/>
  <c r="E12" i="9"/>
  <c r="F12" i="9"/>
  <c r="G12" i="9"/>
  <c r="C13" i="9"/>
  <c r="E13" i="9"/>
  <c r="F13" i="9"/>
  <c r="G13" i="9"/>
  <c r="C14" i="9"/>
  <c r="E14" i="9"/>
  <c r="F14" i="9"/>
  <c r="G14" i="9"/>
  <c r="C15" i="9"/>
  <c r="E15" i="9"/>
  <c r="F15" i="9"/>
  <c r="G15" i="9"/>
  <c r="C16" i="9"/>
  <c r="E16" i="9"/>
  <c r="F16" i="9"/>
  <c r="G16" i="9"/>
  <c r="C17" i="9"/>
  <c r="E17" i="9"/>
  <c r="F17" i="9"/>
  <c r="G17" i="9"/>
  <c r="C20" i="9"/>
  <c r="E20" i="9"/>
  <c r="F20" i="9"/>
  <c r="G20" i="9"/>
  <c r="C21" i="9"/>
  <c r="E21" i="9"/>
  <c r="F21" i="9"/>
  <c r="G21" i="9"/>
  <c r="C22" i="9"/>
  <c r="E22" i="9"/>
  <c r="F22" i="9"/>
  <c r="G22" i="9"/>
  <c r="C23" i="9"/>
  <c r="E23" i="9"/>
  <c r="F23" i="9"/>
  <c r="G23" i="9"/>
  <c r="C24" i="9"/>
  <c r="E24" i="9"/>
  <c r="F24" i="9"/>
  <c r="G24" i="9"/>
  <c r="C25" i="9"/>
  <c r="E25" i="9"/>
  <c r="F25" i="9"/>
  <c r="G25" i="9"/>
  <c r="C28" i="9"/>
  <c r="E28" i="9"/>
  <c r="F28" i="9"/>
  <c r="G28" i="9"/>
  <c r="C29" i="9"/>
  <c r="E29" i="9"/>
  <c r="F29" i="9"/>
  <c r="G29" i="9"/>
  <c r="C30" i="9"/>
  <c r="E30" i="9"/>
  <c r="F30" i="9"/>
  <c r="G30" i="9"/>
  <c r="C31" i="9"/>
  <c r="E31" i="9"/>
  <c r="F31" i="9"/>
  <c r="G31" i="9"/>
  <c r="C32" i="9"/>
  <c r="E32" i="9"/>
  <c r="F32" i="9"/>
  <c r="G32" i="9"/>
  <c r="C33" i="9"/>
  <c r="E33" i="9"/>
  <c r="F33" i="9"/>
  <c r="G33" i="9"/>
  <c r="C36" i="9"/>
  <c r="E36" i="9"/>
  <c r="F36" i="9"/>
  <c r="G36" i="9"/>
  <c r="C37" i="9"/>
  <c r="E37" i="9"/>
  <c r="F37" i="9"/>
  <c r="G37" i="9"/>
  <c r="C38" i="9"/>
  <c r="E38" i="9"/>
  <c r="F38" i="9"/>
  <c r="G38" i="9"/>
  <c r="C39" i="9"/>
  <c r="E39" i="9"/>
  <c r="F39" i="9"/>
  <c r="G39" i="9"/>
  <c r="C40" i="9"/>
  <c r="E40" i="9"/>
  <c r="F40" i="9"/>
  <c r="G40" i="9"/>
  <c r="C41" i="9"/>
  <c r="E41" i="9"/>
  <c r="F41" i="9"/>
  <c r="G41" i="9"/>
  <c r="C44" i="9"/>
  <c r="E44" i="9"/>
  <c r="F44" i="9"/>
  <c r="G44" i="9"/>
  <c r="C45" i="9"/>
  <c r="E45" i="9"/>
  <c r="F45" i="9"/>
  <c r="G45" i="9"/>
  <c r="C46" i="9"/>
  <c r="E46" i="9"/>
  <c r="F46" i="9"/>
  <c r="G46" i="9"/>
  <c r="C47" i="9"/>
  <c r="E47" i="9"/>
  <c r="F47" i="9"/>
  <c r="G47" i="9"/>
  <c r="C48" i="9"/>
  <c r="E48" i="9"/>
  <c r="F48" i="9"/>
  <c r="G48" i="9"/>
  <c r="C49" i="9"/>
  <c r="E49" i="9"/>
  <c r="F49" i="9"/>
  <c r="G49" i="9"/>
  <c r="C52" i="9"/>
  <c r="E52" i="9"/>
  <c r="F52" i="9"/>
  <c r="G52" i="9"/>
  <c r="C53" i="9"/>
  <c r="E53" i="9"/>
  <c r="F53" i="9"/>
  <c r="G53" i="9"/>
  <c r="C54" i="9"/>
  <c r="E54" i="9"/>
  <c r="F54" i="9"/>
  <c r="G54" i="9"/>
  <c r="C55" i="9"/>
  <c r="E55" i="9"/>
  <c r="F55" i="9"/>
  <c r="G55" i="9"/>
  <c r="C56" i="9"/>
  <c r="E56" i="9"/>
  <c r="F56" i="9"/>
  <c r="G56" i="9"/>
  <c r="C57" i="9"/>
  <c r="E57" i="9"/>
  <c r="F57" i="9"/>
  <c r="G57" i="9"/>
  <c r="C60" i="9"/>
  <c r="E60" i="9"/>
  <c r="F60" i="9"/>
  <c r="G60" i="9"/>
  <c r="C61" i="9"/>
  <c r="E61" i="9"/>
  <c r="F61" i="9"/>
  <c r="G61" i="9"/>
  <c r="C62" i="9"/>
  <c r="E62" i="9"/>
  <c r="F62" i="9"/>
  <c r="G62" i="9"/>
  <c r="C63" i="9"/>
  <c r="E63" i="9"/>
  <c r="F63" i="9"/>
  <c r="G63" i="9"/>
  <c r="C64" i="9"/>
  <c r="E64" i="9"/>
  <c r="F64" i="9"/>
  <c r="G64" i="9"/>
  <c r="C65" i="9"/>
  <c r="E65" i="9"/>
  <c r="F65" i="9"/>
  <c r="G65" i="9"/>
  <c r="C131" i="9"/>
  <c r="E131" i="9"/>
  <c r="F131" i="9"/>
  <c r="G131" i="9"/>
  <c r="C132" i="9"/>
  <c r="E132" i="9"/>
  <c r="F132" i="9"/>
  <c r="G132" i="9"/>
  <c r="C133" i="9"/>
  <c r="E133" i="9"/>
  <c r="F133" i="9"/>
  <c r="G133" i="9"/>
  <c r="C134" i="9"/>
  <c r="E134" i="9"/>
  <c r="F134" i="9"/>
  <c r="G134" i="9"/>
  <c r="C138" i="9"/>
  <c r="E138" i="9"/>
  <c r="F138" i="9"/>
  <c r="G138" i="9"/>
  <c r="C139" i="9"/>
  <c r="E139" i="9"/>
  <c r="F139" i="9"/>
  <c r="G139" i="9"/>
  <c r="C143" i="9"/>
  <c r="E143" i="9"/>
  <c r="F143" i="9"/>
  <c r="G143" i="9"/>
  <c r="C147" i="9"/>
  <c r="E147" i="9"/>
  <c r="F147" i="9"/>
  <c r="G147" i="9"/>
  <c r="J147" i="7" l="1"/>
  <c r="H147" i="9" s="1"/>
  <c r="J143" i="7"/>
  <c r="H143" i="9" s="1"/>
  <c r="J139" i="7"/>
  <c r="J138" i="7"/>
  <c r="J134" i="7"/>
  <c r="J133" i="7"/>
  <c r="J132" i="7"/>
  <c r="J131" i="7"/>
  <c r="J127" i="7"/>
  <c r="H127" i="9" s="1"/>
  <c r="J126" i="7"/>
  <c r="H126" i="9" s="1"/>
  <c r="J125" i="7"/>
  <c r="H125" i="9" s="1"/>
  <c r="J124" i="7"/>
  <c r="H124" i="9" s="1"/>
  <c r="J123" i="7"/>
  <c r="H123" i="9" s="1"/>
  <c r="J122" i="7"/>
  <c r="H122" i="9" s="1"/>
  <c r="J121" i="7"/>
  <c r="H121" i="9" s="1"/>
  <c r="J120" i="7"/>
  <c r="H120" i="9" s="1"/>
  <c r="J65" i="7"/>
  <c r="H65" i="9" s="1"/>
  <c r="J64" i="7"/>
  <c r="H64" i="9" s="1"/>
  <c r="J63" i="7"/>
  <c r="H63" i="9" s="1"/>
  <c r="J62" i="7"/>
  <c r="H62" i="9" s="1"/>
  <c r="J61" i="7"/>
  <c r="H61" i="9" s="1"/>
  <c r="J60" i="7"/>
  <c r="H60" i="9" s="1"/>
  <c r="J57" i="7"/>
  <c r="H57" i="9" s="1"/>
  <c r="J56" i="7"/>
  <c r="H56" i="9" s="1"/>
  <c r="J55" i="7"/>
  <c r="H55" i="9" s="1"/>
  <c r="J54" i="7"/>
  <c r="H54" i="9" s="1"/>
  <c r="J53" i="7"/>
  <c r="H53" i="9" s="1"/>
  <c r="J52" i="7"/>
  <c r="H52" i="9" s="1"/>
  <c r="J49" i="7"/>
  <c r="H49" i="9" s="1"/>
  <c r="J48" i="7"/>
  <c r="H48" i="9" s="1"/>
  <c r="J47" i="7"/>
  <c r="H47" i="9" s="1"/>
  <c r="J46" i="7"/>
  <c r="H46" i="9" s="1"/>
  <c r="J45" i="7"/>
  <c r="H45" i="9" s="1"/>
  <c r="J44" i="7"/>
  <c r="H44" i="9" s="1"/>
  <c r="J41" i="7"/>
  <c r="H41" i="9" s="1"/>
  <c r="J40" i="7"/>
  <c r="H40" i="9" s="1"/>
  <c r="J39" i="7"/>
  <c r="H39" i="9" s="1"/>
  <c r="J38" i="7"/>
  <c r="H38" i="9" s="1"/>
  <c r="J37" i="7"/>
  <c r="H37" i="9" s="1"/>
  <c r="J36" i="7"/>
  <c r="H36" i="9" s="1"/>
  <c r="J33" i="7"/>
  <c r="H33" i="9" s="1"/>
  <c r="J32" i="7"/>
  <c r="H32" i="9" s="1"/>
  <c r="J31" i="7"/>
  <c r="H31" i="9" s="1"/>
  <c r="J30" i="7"/>
  <c r="H30" i="9" s="1"/>
  <c r="J29" i="7"/>
  <c r="H29" i="9" s="1"/>
  <c r="J28" i="7"/>
  <c r="H28" i="9" s="1"/>
  <c r="J25" i="7"/>
  <c r="H25" i="9" s="1"/>
  <c r="J24" i="7"/>
  <c r="H24" i="9" s="1"/>
  <c r="J23" i="7"/>
  <c r="H23" i="9" s="1"/>
  <c r="J22" i="7"/>
  <c r="H22" i="9" s="1"/>
  <c r="J21" i="7"/>
  <c r="H21" i="9" s="1"/>
  <c r="J20" i="7"/>
  <c r="H20" i="9" s="1"/>
  <c r="J17" i="7"/>
  <c r="H17" i="9" s="1"/>
  <c r="J16" i="7"/>
  <c r="H16" i="9" s="1"/>
  <c r="J15" i="7"/>
  <c r="H15" i="9" s="1"/>
  <c r="J14" i="7"/>
  <c r="H14" i="9" s="1"/>
  <c r="J13" i="7"/>
  <c r="H13" i="9" s="1"/>
  <c r="J12" i="7"/>
  <c r="H12" i="9" s="1"/>
  <c r="J9" i="7"/>
  <c r="H9" i="9" s="1"/>
  <c r="J8" i="7"/>
  <c r="H8" i="9" s="1"/>
  <c r="J7" i="7"/>
  <c r="H7" i="9" s="1"/>
  <c r="J6" i="7"/>
  <c r="H6" i="9" s="1"/>
  <c r="J5" i="7"/>
  <c r="H5" i="9" s="1"/>
  <c r="F97" i="6"/>
  <c r="F98" i="6" s="1"/>
  <c r="F94" i="6"/>
  <c r="F95" i="6" s="1"/>
  <c r="F91" i="6"/>
  <c r="F92" i="6" s="1"/>
  <c r="F88" i="6"/>
  <c r="F89" i="6" s="1"/>
  <c r="F85" i="6"/>
  <c r="F86" i="6" s="1"/>
  <c r="F82" i="6"/>
  <c r="F83" i="6" s="1"/>
  <c r="F79" i="6"/>
  <c r="F80" i="6" s="1"/>
  <c r="F76" i="6"/>
  <c r="F77" i="6" s="1"/>
  <c r="H97" i="6"/>
  <c r="H98" i="6" s="1"/>
  <c r="H94" i="6"/>
  <c r="H95" i="6" s="1"/>
  <c r="H91" i="6"/>
  <c r="H92" i="6" s="1"/>
  <c r="H88" i="6"/>
  <c r="H89" i="6" s="1"/>
  <c r="H85" i="6"/>
  <c r="H86" i="6" s="1"/>
  <c r="H82" i="6"/>
  <c r="H83" i="6" s="1"/>
  <c r="H79" i="6"/>
  <c r="H80" i="6" s="1"/>
  <c r="H76" i="6"/>
  <c r="H77" i="6" s="1"/>
  <c r="D97" i="6"/>
  <c r="D98" i="6" s="1"/>
  <c r="D94" i="6"/>
  <c r="D95" i="6" s="1"/>
  <c r="D91" i="6"/>
  <c r="D92" i="6" s="1"/>
  <c r="D88" i="6"/>
  <c r="D89" i="6" s="1"/>
  <c r="D85" i="6"/>
  <c r="D86" i="6" s="1"/>
  <c r="D82" i="6"/>
  <c r="D83" i="6" s="1"/>
  <c r="D79" i="6"/>
  <c r="D80" i="6" s="1"/>
  <c r="D76" i="6"/>
  <c r="D77" i="6" s="1"/>
  <c r="B291" i="6"/>
  <c r="C291" i="6" s="1"/>
  <c r="B208" i="6" s="1"/>
  <c r="M65" i="7" s="1"/>
  <c r="J4" i="7"/>
  <c r="H4" i="9" s="1"/>
  <c r="G1" i="7"/>
  <c r="E1" i="9" s="1"/>
  <c r="E2" i="9"/>
  <c r="E231" i="9"/>
  <c r="E233" i="9"/>
  <c r="E235" i="9"/>
  <c r="E237" i="9"/>
  <c r="C4" i="9"/>
  <c r="E4" i="9"/>
  <c r="F4" i="9"/>
  <c r="G4" i="9"/>
  <c r="I127" i="9"/>
  <c r="I131" i="9"/>
  <c r="I132" i="9"/>
  <c r="I133" i="9"/>
  <c r="I134" i="9"/>
  <c r="I138" i="9"/>
  <c r="I139" i="9"/>
  <c r="AI44" i="7"/>
  <c r="AJ44" i="7"/>
  <c r="AK44" i="7"/>
  <c r="AI37" i="7"/>
  <c r="AJ37" i="7"/>
  <c r="AK37" i="7"/>
  <c r="AI38" i="7"/>
  <c r="AJ38" i="7"/>
  <c r="AK38" i="7"/>
  <c r="AI39" i="7"/>
  <c r="AJ39" i="7"/>
  <c r="AK39" i="7"/>
  <c r="AI40" i="7"/>
  <c r="AJ40" i="7"/>
  <c r="AK40" i="7"/>
  <c r="AI41" i="7"/>
  <c r="AJ41" i="7"/>
  <c r="AK41" i="7"/>
  <c r="AK36" i="7"/>
  <c r="AJ36" i="7"/>
  <c r="AI36" i="7"/>
  <c r="AI46" i="7"/>
  <c r="AJ46" i="7"/>
  <c r="AK46" i="7"/>
  <c r="AI47" i="7"/>
  <c r="AJ47" i="7"/>
  <c r="AK47" i="7"/>
  <c r="AI48" i="7"/>
  <c r="AJ48" i="7"/>
  <c r="AK48" i="7"/>
  <c r="AI49" i="7"/>
  <c r="AJ49" i="7"/>
  <c r="AK49" i="7"/>
  <c r="AI29" i="7"/>
  <c r="AJ29" i="7"/>
  <c r="AK29" i="7"/>
  <c r="AI30" i="7"/>
  <c r="AJ30" i="7"/>
  <c r="AK30" i="7"/>
  <c r="AI31" i="7"/>
  <c r="AJ31" i="7"/>
  <c r="AK31" i="7"/>
  <c r="AI32" i="7"/>
  <c r="AJ32" i="7"/>
  <c r="AK32" i="7"/>
  <c r="AI33" i="7"/>
  <c r="AJ33" i="7"/>
  <c r="AK33" i="7"/>
  <c r="AI21" i="7"/>
  <c r="AJ21" i="7"/>
  <c r="AK21" i="7"/>
  <c r="AI22" i="7"/>
  <c r="AJ22" i="7"/>
  <c r="AK22" i="7"/>
  <c r="AI23" i="7"/>
  <c r="AJ23" i="7"/>
  <c r="AK23" i="7"/>
  <c r="AI24" i="7"/>
  <c r="AJ24" i="7"/>
  <c r="AK24" i="7"/>
  <c r="AI25" i="7"/>
  <c r="AJ25" i="7"/>
  <c r="AK25" i="7"/>
  <c r="AK5" i="7"/>
  <c r="AK6" i="7"/>
  <c r="AK7" i="7"/>
  <c r="AK8" i="7"/>
  <c r="AK9" i="7"/>
  <c r="AJ5" i="7"/>
  <c r="AJ6" i="7"/>
  <c r="AJ7" i="7"/>
  <c r="AJ8" i="7"/>
  <c r="AJ9" i="7"/>
  <c r="AI5" i="7"/>
  <c r="AI6" i="7"/>
  <c r="AI7" i="7"/>
  <c r="AI8" i="7"/>
  <c r="AI9" i="7"/>
  <c r="AK13" i="7"/>
  <c r="AK14" i="7"/>
  <c r="AK15" i="7"/>
  <c r="AK16" i="7"/>
  <c r="AK17" i="7"/>
  <c r="AJ13" i="7"/>
  <c r="AJ14" i="7"/>
  <c r="AJ15" i="7"/>
  <c r="AJ16" i="7"/>
  <c r="AJ17" i="7"/>
  <c r="AI13" i="7"/>
  <c r="AI14" i="7"/>
  <c r="AI15" i="7"/>
  <c r="AI16" i="7"/>
  <c r="AI17" i="7"/>
  <c r="AI4" i="7"/>
  <c r="AK4" i="7"/>
  <c r="AJ4" i="7"/>
  <c r="B2" i="2"/>
  <c r="C2" i="2"/>
  <c r="D2" i="2"/>
  <c r="E2" i="2"/>
  <c r="F2" i="2"/>
  <c r="G2" i="2"/>
  <c r="A3" i="2"/>
  <c r="A4" i="2"/>
  <c r="A5" i="2"/>
  <c r="A6" i="2"/>
  <c r="B8" i="2"/>
  <c r="C8" i="2"/>
  <c r="D8" i="2"/>
  <c r="E8" i="2"/>
  <c r="F8" i="2"/>
  <c r="G8" i="2"/>
  <c r="A9" i="2"/>
  <c r="A10" i="2"/>
  <c r="A11" i="2"/>
  <c r="A12" i="2"/>
  <c r="B14" i="2"/>
  <c r="C14" i="2"/>
  <c r="D14" i="2"/>
  <c r="E14" i="2"/>
  <c r="F14" i="2"/>
  <c r="G14" i="2"/>
  <c r="A15" i="2"/>
  <c r="A16" i="2"/>
  <c r="A17" i="2"/>
  <c r="A18" i="2"/>
  <c r="B20" i="2"/>
  <c r="C20" i="2"/>
  <c r="D20" i="2"/>
  <c r="E20" i="2"/>
  <c r="F20" i="2"/>
  <c r="G20" i="2"/>
  <c r="A21" i="2"/>
  <c r="A22" i="2"/>
  <c r="A23" i="2"/>
  <c r="A24" i="2"/>
  <c r="B26" i="2"/>
  <c r="C26" i="2"/>
  <c r="D26" i="2"/>
  <c r="E26" i="2"/>
  <c r="F26" i="2"/>
  <c r="G26" i="2"/>
  <c r="A27" i="2"/>
  <c r="A28" i="2"/>
  <c r="A29" i="2"/>
  <c r="A30" i="2"/>
  <c r="B32" i="2"/>
  <c r="C32" i="2"/>
  <c r="D32" i="2"/>
  <c r="E32" i="2"/>
  <c r="F32" i="2"/>
  <c r="G32" i="2"/>
  <c r="A33" i="2"/>
  <c r="A34" i="2"/>
  <c r="A35" i="2"/>
  <c r="A36" i="2"/>
  <c r="B38" i="2"/>
  <c r="C38" i="2"/>
  <c r="D38" i="2"/>
  <c r="E38" i="2"/>
  <c r="F38" i="2"/>
  <c r="G38" i="2"/>
  <c r="A39" i="2"/>
  <c r="A40" i="2"/>
  <c r="A41" i="2"/>
  <c r="A42" i="2"/>
  <c r="B44" i="2"/>
  <c r="C44" i="2"/>
  <c r="D44" i="2"/>
  <c r="E44" i="2"/>
  <c r="F44" i="2"/>
  <c r="G44" i="2"/>
  <c r="A45" i="2"/>
  <c r="A46" i="2"/>
  <c r="A47" i="2"/>
  <c r="A48" i="2"/>
  <c r="AJ45" i="7"/>
  <c r="AK45" i="7"/>
  <c r="AJ20" i="7"/>
  <c r="AK20" i="7"/>
  <c r="AJ28" i="7"/>
  <c r="AK28" i="7"/>
  <c r="AJ12" i="7"/>
  <c r="AK12" i="7"/>
  <c r="AI12" i="7"/>
  <c r="AI20" i="7"/>
  <c r="AI28" i="7"/>
  <c r="AI45" i="7"/>
  <c r="B117" i="6" l="1"/>
  <c r="B118" i="6"/>
  <c r="B113" i="6"/>
  <c r="B115" i="6"/>
  <c r="B116" i="6"/>
  <c r="B111" i="6"/>
  <c r="B112" i="6"/>
  <c r="B114" i="6"/>
  <c r="H133" i="9"/>
  <c r="H134" i="9"/>
  <c r="B107" i="6"/>
  <c r="B110" i="6"/>
  <c r="B108" i="6"/>
  <c r="B109" i="6"/>
  <c r="B99" i="6"/>
  <c r="B100" i="6"/>
  <c r="B103" i="6"/>
  <c r="B101" i="6"/>
  <c r="B102" i="6"/>
  <c r="B104" i="6"/>
  <c r="B105" i="6"/>
  <c r="B106" i="6"/>
  <c r="B139" i="6"/>
  <c r="B138" i="6"/>
  <c r="B137" i="6"/>
  <c r="B136" i="6"/>
  <c r="B135" i="6"/>
  <c r="B134" i="6"/>
  <c r="B133" i="6"/>
  <c r="B132" i="6"/>
  <c r="B75" i="6"/>
  <c r="B131" i="6"/>
  <c r="B130" i="6"/>
  <c r="B129" i="6"/>
  <c r="B128" i="6"/>
  <c r="B127" i="6"/>
  <c r="B126" i="6"/>
  <c r="B125" i="6"/>
  <c r="B124" i="6"/>
  <c r="B241" i="6"/>
  <c r="BF5" i="7" s="1"/>
  <c r="B257" i="6"/>
  <c r="B273" i="6"/>
  <c r="BF35" i="7" s="1"/>
  <c r="B242" i="6"/>
  <c r="B258" i="6"/>
  <c r="B274" i="6"/>
  <c r="BF36" i="7" s="1"/>
  <c r="B269" i="6"/>
  <c r="BF31" i="7" s="1"/>
  <c r="B287" i="6"/>
  <c r="BF50" i="7" s="1"/>
  <c r="B243" i="6"/>
  <c r="BF20" i="7" s="1"/>
  <c r="B259" i="6"/>
  <c r="B275" i="6"/>
  <c r="BF37" i="7" s="1"/>
  <c r="B244" i="6"/>
  <c r="BF8" i="7" s="1"/>
  <c r="B260" i="6"/>
  <c r="BF24" i="7" s="1"/>
  <c r="B276" i="6"/>
  <c r="BF38" i="7" s="1"/>
  <c r="B285" i="6"/>
  <c r="BF47" i="7" s="1"/>
  <c r="B245" i="6"/>
  <c r="BF9" i="7" s="1"/>
  <c r="B261" i="6"/>
  <c r="BF25" i="7" s="1"/>
  <c r="B277" i="6"/>
  <c r="BF39" i="7" s="1"/>
  <c r="B246" i="6"/>
  <c r="BF10" i="7" s="1"/>
  <c r="B262" i="6"/>
  <c r="BF26" i="7" s="1"/>
  <c r="B278" i="6"/>
  <c r="BF40" i="7" s="1"/>
  <c r="B247" i="6"/>
  <c r="BF12" i="7" s="1"/>
  <c r="B263" i="6"/>
  <c r="B279" i="6"/>
  <c r="BF41" i="7" s="1"/>
  <c r="B252" i="6"/>
  <c r="BF16" i="7" s="1"/>
  <c r="B248" i="6"/>
  <c r="BF42" i="7" s="1"/>
  <c r="B264" i="6"/>
  <c r="BF28" i="7" s="1"/>
  <c r="B280" i="6"/>
  <c r="BF43" i="7" s="1"/>
  <c r="B249" i="6"/>
  <c r="B265" i="6"/>
  <c r="B281" i="6"/>
  <c r="BF44" i="7" s="1"/>
  <c r="B268" i="6"/>
  <c r="B250" i="6"/>
  <c r="B266" i="6"/>
  <c r="BF29" i="7" s="1"/>
  <c r="B282" i="6"/>
  <c r="BF49" i="7" s="1"/>
  <c r="B251" i="6"/>
  <c r="BF15" i="7" s="1"/>
  <c r="B267" i="6"/>
  <c r="B283" i="6"/>
  <c r="BF45" i="7" s="1"/>
  <c r="B284" i="6"/>
  <c r="BF46" i="7" s="1"/>
  <c r="B253" i="6"/>
  <c r="BF17" i="7" s="1"/>
  <c r="B255" i="6"/>
  <c r="BF19" i="7" s="1"/>
  <c r="B254" i="6"/>
  <c r="BF18" i="7" s="1"/>
  <c r="B270" i="6"/>
  <c r="BF32" i="7" s="1"/>
  <c r="B286" i="6"/>
  <c r="BF48" i="7" s="1"/>
  <c r="B271" i="6"/>
  <c r="BF33" i="7" s="1"/>
  <c r="B240" i="6"/>
  <c r="BF4" i="7" s="1"/>
  <c r="B256" i="6"/>
  <c r="BF21" i="7" s="1"/>
  <c r="B272" i="6"/>
  <c r="B123" i="6"/>
  <c r="B73" i="6"/>
  <c r="B1" i="7" s="1"/>
  <c r="B1" i="9" s="1"/>
  <c r="B71" i="6"/>
  <c r="BE72" i="7" s="1"/>
  <c r="B52" i="6"/>
  <c r="BE53" i="7" s="1"/>
  <c r="B20" i="6"/>
  <c r="D28" i="7" s="1"/>
  <c r="AH28" i="7" s="1"/>
  <c r="B44" i="6"/>
  <c r="B50" i="6"/>
  <c r="BE51" i="7" s="1"/>
  <c r="B46" i="6"/>
  <c r="B49" i="6"/>
  <c r="B2" i="6"/>
  <c r="BE3" i="7" s="1"/>
  <c r="B3" i="6"/>
  <c r="BE4" i="7" s="1"/>
  <c r="B4" i="6"/>
  <c r="BE5" i="7" s="1"/>
  <c r="B63" i="6"/>
  <c r="BE64" i="7" s="1"/>
  <c r="BE335" i="7" s="1"/>
  <c r="B62" i="6"/>
  <c r="BE63" i="7" s="1"/>
  <c r="BE334" i="7" s="1"/>
  <c r="B32" i="6"/>
  <c r="B61" i="6"/>
  <c r="B59" i="6"/>
  <c r="BE60" i="7" s="1"/>
  <c r="BD333" i="7" s="1"/>
  <c r="B57" i="6"/>
  <c r="BE58" i="7" s="1"/>
  <c r="BD331" i="7" s="1"/>
  <c r="B56" i="6"/>
  <c r="BE57" i="7" s="1"/>
  <c r="BD330" i="7" s="1"/>
  <c r="B55" i="6"/>
  <c r="B70" i="6"/>
  <c r="BE71" i="7" s="1"/>
  <c r="B51" i="6"/>
  <c r="BE52" i="7" s="1"/>
  <c r="B21" i="6"/>
  <c r="F28" i="7" s="1"/>
  <c r="AL28" i="7" s="1"/>
  <c r="B45" i="6"/>
  <c r="F60" i="7" s="1"/>
  <c r="AL60" i="7" s="1"/>
  <c r="B69" i="6"/>
  <c r="BE70" i="7" s="1"/>
  <c r="B22" i="6"/>
  <c r="D29" i="7" s="1"/>
  <c r="AH29" i="7" s="1"/>
  <c r="B68" i="6"/>
  <c r="BE69" i="7" s="1"/>
  <c r="B23" i="6"/>
  <c r="B47" i="6"/>
  <c r="B67" i="6"/>
  <c r="B26" i="6"/>
  <c r="B65" i="6"/>
  <c r="BE66" i="7" s="1"/>
  <c r="BE337" i="7" s="1"/>
  <c r="B27" i="6"/>
  <c r="B64" i="6"/>
  <c r="BE65" i="7" s="1"/>
  <c r="BE336" i="7" s="1"/>
  <c r="B28" i="6"/>
  <c r="D37" i="7" s="1"/>
  <c r="AH37" i="7" s="1"/>
  <c r="B29" i="6"/>
  <c r="F37" i="7" s="1"/>
  <c r="AL37" i="7" s="1"/>
  <c r="B8" i="6"/>
  <c r="B9" i="6"/>
  <c r="D13" i="7" s="1"/>
  <c r="AH13" i="7" s="1"/>
  <c r="B34" i="6"/>
  <c r="F45" i="7" s="1"/>
  <c r="AL45" i="7" s="1"/>
  <c r="B11" i="6"/>
  <c r="F12" i="7" s="1"/>
  <c r="AL12" i="7" s="1"/>
  <c r="B38" i="6"/>
  <c r="B39" i="6"/>
  <c r="F52" i="7" s="1"/>
  <c r="AL52" i="7" s="1"/>
  <c r="B40" i="6"/>
  <c r="B5" i="6"/>
  <c r="BE6" i="7" s="1"/>
  <c r="BF79" i="7" s="1"/>
  <c r="B33" i="6"/>
  <c r="B10" i="6"/>
  <c r="F13" i="7" s="1"/>
  <c r="AL13" i="7" s="1"/>
  <c r="B35" i="6"/>
  <c r="B14" i="6"/>
  <c r="BE15" i="7" s="1"/>
  <c r="BF98" i="7" s="1"/>
  <c r="B15" i="6"/>
  <c r="BE16" i="7" s="1"/>
  <c r="BF99" i="7" s="1"/>
  <c r="B16" i="6"/>
  <c r="BE17" i="7" s="1"/>
  <c r="BF100" i="7" s="1"/>
  <c r="B41" i="6"/>
  <c r="F53" i="7" s="1"/>
  <c r="AL53" i="7" s="1"/>
  <c r="B58" i="6"/>
  <c r="BE59" i="7" s="1"/>
  <c r="BD332" i="7" s="1"/>
  <c r="B53" i="6"/>
  <c r="BE54" i="7" s="1"/>
  <c r="B17" i="6"/>
  <c r="BE18" i="7" s="1"/>
  <c r="BF101" i="7" s="1"/>
  <c r="B217" i="6"/>
  <c r="M81" i="7" s="1"/>
  <c r="H131" i="9"/>
  <c r="H132" i="9"/>
  <c r="H138" i="9"/>
  <c r="H139" i="9"/>
  <c r="B195" i="6"/>
  <c r="M44" i="7" s="1"/>
  <c r="B191" i="6"/>
  <c r="B188" i="6"/>
  <c r="B189" i="6"/>
  <c r="B190" i="6"/>
  <c r="M36" i="7" s="1"/>
  <c r="B249" i="9" s="1"/>
  <c r="B227" i="6"/>
  <c r="B201" i="6"/>
  <c r="M51" i="7" s="1"/>
  <c r="B89" i="6"/>
  <c r="B225" i="6"/>
  <c r="M89" i="7" s="1"/>
  <c r="B197" i="6"/>
  <c r="M46" i="7" s="1"/>
  <c r="B85" i="6"/>
  <c r="B224" i="6"/>
  <c r="M88" i="7" s="1"/>
  <c r="B222" i="6"/>
  <c r="M86" i="7" s="1"/>
  <c r="B210" i="6"/>
  <c r="M69" i="7" s="1"/>
  <c r="B182" i="6"/>
  <c r="M20" i="7" s="1"/>
  <c r="B233" i="9" s="1"/>
  <c r="B162" i="6"/>
  <c r="B95" i="6"/>
  <c r="B122" i="6"/>
  <c r="B146" i="6"/>
  <c r="B82" i="6"/>
  <c r="B156" i="6"/>
  <c r="B289" i="6"/>
  <c r="N3" i="7" s="1"/>
  <c r="B149" i="6"/>
  <c r="B13" i="6"/>
  <c r="B78" i="6"/>
  <c r="B80" i="6"/>
  <c r="B153" i="6"/>
  <c r="B92" i="6"/>
  <c r="B90" i="6"/>
  <c r="B19" i="6"/>
  <c r="B76" i="6"/>
  <c r="B37" i="6"/>
  <c r="B120" i="6"/>
  <c r="B184" i="6"/>
  <c r="B193" i="6"/>
  <c r="M41" i="7" s="1"/>
  <c r="B198" i="6"/>
  <c r="M47" i="7" s="1"/>
  <c r="B200" i="6"/>
  <c r="M49" i="7" s="1"/>
  <c r="B202" i="6"/>
  <c r="M53" i="7" s="1"/>
  <c r="B204" i="6"/>
  <c r="M57" i="7" s="1"/>
  <c r="B206" i="6"/>
  <c r="B209" i="6"/>
  <c r="M67" i="7" s="1"/>
  <c r="B211" i="6"/>
  <c r="M71" i="7" s="1"/>
  <c r="B213" i="6"/>
  <c r="M75" i="7" s="1"/>
  <c r="B216" i="6"/>
  <c r="M79" i="7" s="1"/>
  <c r="B218" i="6"/>
  <c r="M82" i="7" s="1"/>
  <c r="B196" i="6"/>
  <c r="M45" i="7" s="1"/>
  <c r="B163" i="6"/>
  <c r="B142" i="6"/>
  <c r="B31" i="6"/>
  <c r="B43" i="6"/>
  <c r="B147" i="6"/>
  <c r="B86" i="6"/>
  <c r="B145" i="6"/>
  <c r="B1" i="6"/>
  <c r="B96" i="6"/>
  <c r="B7" i="6"/>
  <c r="B141" i="6"/>
  <c r="B84" i="6"/>
  <c r="B144" i="6"/>
  <c r="B83" i="6"/>
  <c r="B238" i="6"/>
  <c r="B151" i="6"/>
  <c r="B121" i="6"/>
  <c r="B161" i="6"/>
  <c r="B165" i="6"/>
  <c r="M3" i="7" s="1"/>
  <c r="B167" i="6"/>
  <c r="M5" i="7" s="1"/>
  <c r="B169" i="6"/>
  <c r="M8" i="7" s="1"/>
  <c r="B172" i="6"/>
  <c r="M11" i="7" s="1"/>
  <c r="B174" i="6"/>
  <c r="M13" i="7" s="1"/>
  <c r="B176" i="6"/>
  <c r="B178" i="6"/>
  <c r="B181" i="6"/>
  <c r="M18" i="7" s="1"/>
  <c r="B231" i="9" s="1"/>
  <c r="B185" i="6"/>
  <c r="B194" i="6"/>
  <c r="M43" i="7" s="1"/>
  <c r="B25" i="6"/>
  <c r="B150" i="6"/>
  <c r="B98" i="6"/>
  <c r="B74" i="6"/>
  <c r="F1" i="7" s="1"/>
  <c r="D1" i="9" s="1"/>
  <c r="B77" i="6"/>
  <c r="B159" i="6"/>
  <c r="B158" i="6"/>
  <c r="B148" i="6"/>
  <c r="B164" i="6"/>
  <c r="M1" i="7" s="1"/>
  <c r="B168" i="6"/>
  <c r="M6" i="7" s="1"/>
  <c r="B173" i="6"/>
  <c r="M12" i="7" s="1"/>
  <c r="B177" i="6"/>
  <c r="B183" i="6"/>
  <c r="B231" i="6"/>
  <c r="M93" i="7" s="1"/>
  <c r="B232" i="6"/>
  <c r="B152" i="6"/>
  <c r="B97" i="6"/>
  <c r="B157" i="6"/>
  <c r="B143" i="6"/>
  <c r="B79" i="6"/>
  <c r="B87" i="6"/>
  <c r="B81" i="6"/>
  <c r="B171" i="6"/>
  <c r="B186" i="6"/>
  <c r="B199" i="6"/>
  <c r="M48" i="7" s="1"/>
  <c r="B203" i="6"/>
  <c r="M55" i="7" s="1"/>
  <c r="B207" i="6"/>
  <c r="M63" i="7" s="1"/>
  <c r="B212" i="6"/>
  <c r="M73" i="7" s="1"/>
  <c r="B219" i="6"/>
  <c r="M83" i="7" s="1"/>
  <c r="B221" i="6"/>
  <c r="M85" i="7" s="1"/>
  <c r="B223" i="6"/>
  <c r="M87" i="7" s="1"/>
  <c r="B226" i="6"/>
  <c r="B228" i="6"/>
  <c r="B239" i="6"/>
  <c r="B88" i="6"/>
  <c r="B154" i="6"/>
  <c r="B119" i="6"/>
  <c r="B166" i="6"/>
  <c r="M4" i="7" s="1"/>
  <c r="B175" i="6"/>
  <c r="B187" i="6"/>
  <c r="B229" i="6"/>
  <c r="B155" i="6"/>
  <c r="B93" i="6"/>
  <c r="B160" i="6"/>
  <c r="B170" i="6"/>
  <c r="M10" i="7" s="1"/>
  <c r="B180" i="6"/>
  <c r="B214" i="6"/>
  <c r="M77" i="7" s="1"/>
  <c r="B94" i="6"/>
  <c r="B230" i="6"/>
  <c r="B220" i="6"/>
  <c r="M84" i="7" s="1"/>
  <c r="B205" i="6"/>
  <c r="M59" i="7" s="1"/>
  <c r="B140" i="6"/>
  <c r="B91" i="6"/>
  <c r="M61" i="7" l="1"/>
  <c r="BD335" i="7"/>
  <c r="BE131" i="7"/>
  <c r="BD329" i="7"/>
  <c r="BF125" i="7"/>
  <c r="BE113" i="7"/>
  <c r="BD328" i="7"/>
  <c r="BF124" i="7"/>
  <c r="BE112" i="7"/>
  <c r="BD337" i="7"/>
  <c r="BE133" i="7"/>
  <c r="BD326" i="7"/>
  <c r="BF122" i="7"/>
  <c r="BE110" i="7"/>
  <c r="BD336" i="7"/>
  <c r="BE132" i="7"/>
  <c r="BD327" i="7"/>
  <c r="BF123" i="7"/>
  <c r="BE111" i="7"/>
  <c r="BD242" i="7"/>
  <c r="BF78" i="7"/>
  <c r="BD334" i="7"/>
  <c r="BE130" i="7"/>
  <c r="BD241" i="7"/>
  <c r="BF77" i="7"/>
  <c r="BD240" i="7"/>
  <c r="BF76" i="7"/>
  <c r="M38" i="7"/>
  <c r="B251" i="9" s="1"/>
  <c r="H91" i="7"/>
  <c r="H59" i="7"/>
  <c r="E59" i="9" s="1"/>
  <c r="H43" i="7"/>
  <c r="E43" i="9" s="1"/>
  <c r="H27" i="7"/>
  <c r="E27" i="9" s="1"/>
  <c r="H75" i="7"/>
  <c r="E75" i="9" s="1"/>
  <c r="BD278" i="7"/>
  <c r="BD304" i="7"/>
  <c r="BD279" i="7"/>
  <c r="BD305" i="7"/>
  <c r="BD281" i="7"/>
  <c r="BD307" i="7"/>
  <c r="BD284" i="7"/>
  <c r="BD310" i="7"/>
  <c r="BD280" i="7"/>
  <c r="BD306" i="7"/>
  <c r="BD282" i="7"/>
  <c r="BD308" i="7"/>
  <c r="BD283" i="7"/>
  <c r="BD309" i="7"/>
  <c r="BD285" i="7"/>
  <c r="BD311" i="7"/>
  <c r="BD222" i="7"/>
  <c r="BD252" i="7"/>
  <c r="BD253" i="7"/>
  <c r="BD223" i="7"/>
  <c r="BD255" i="7"/>
  <c r="BD225" i="7"/>
  <c r="BF334" i="7"/>
  <c r="BD258" i="7"/>
  <c r="BD228" i="7"/>
  <c r="BD224" i="7"/>
  <c r="BD254" i="7"/>
  <c r="BF332" i="7"/>
  <c r="BD256" i="7"/>
  <c r="BD226" i="7"/>
  <c r="BF338" i="7"/>
  <c r="BD232" i="7"/>
  <c r="BF333" i="7"/>
  <c r="BD257" i="7"/>
  <c r="BD227" i="7"/>
  <c r="BF335" i="7"/>
  <c r="BD259" i="7"/>
  <c r="BD229" i="7"/>
  <c r="BF339" i="7"/>
  <c r="BD233" i="7"/>
  <c r="BF336" i="7"/>
  <c r="BD230" i="7"/>
  <c r="BF337" i="7"/>
  <c r="BD231" i="7"/>
  <c r="BD139" i="7"/>
  <c r="BD243" i="7"/>
  <c r="BE182" i="7"/>
  <c r="BD204" i="7"/>
  <c r="BD147" i="7"/>
  <c r="BD191" i="7"/>
  <c r="BD165" i="7"/>
  <c r="BE183" i="7"/>
  <c r="BD205" i="7"/>
  <c r="BE184" i="7"/>
  <c r="BD206" i="7"/>
  <c r="BD145" i="7"/>
  <c r="BD189" i="7"/>
  <c r="BD163" i="7"/>
  <c r="BD144" i="7"/>
  <c r="BD188" i="7"/>
  <c r="BD162" i="7"/>
  <c r="BD146" i="7"/>
  <c r="BD190" i="7"/>
  <c r="BD164" i="7"/>
  <c r="BE185" i="7"/>
  <c r="BD207" i="7"/>
  <c r="BE190" i="7"/>
  <c r="BD138" i="7"/>
  <c r="BE189" i="7"/>
  <c r="BD137" i="7"/>
  <c r="BE188" i="7"/>
  <c r="BD136" i="7"/>
  <c r="BF341" i="7"/>
  <c r="BE235" i="7"/>
  <c r="BF342" i="7"/>
  <c r="BE236" i="7"/>
  <c r="BF343" i="7"/>
  <c r="BE237" i="7"/>
  <c r="BF340" i="7"/>
  <c r="BE234" i="7"/>
  <c r="BF303" i="7"/>
  <c r="BE191" i="7"/>
  <c r="BF282" i="7"/>
  <c r="BF328" i="7"/>
  <c r="BF283" i="7"/>
  <c r="BF329" i="7"/>
  <c r="BF284" i="7"/>
  <c r="BF330" i="7"/>
  <c r="BF204" i="7"/>
  <c r="BF302" i="7"/>
  <c r="BF203" i="7"/>
  <c r="BF301" i="7"/>
  <c r="BF285" i="7"/>
  <c r="BF331" i="7"/>
  <c r="BF202" i="7"/>
  <c r="BF300" i="7"/>
  <c r="BF198" i="7"/>
  <c r="BF296" i="7"/>
  <c r="BF252" i="7"/>
  <c r="BF286" i="7"/>
  <c r="BF199" i="7"/>
  <c r="BF297" i="7"/>
  <c r="BF254" i="7"/>
  <c r="BF288" i="7"/>
  <c r="BF194" i="7"/>
  <c r="BF292" i="7"/>
  <c r="BF253" i="7"/>
  <c r="BF287" i="7"/>
  <c r="BF255" i="7"/>
  <c r="BF289" i="7"/>
  <c r="BF197" i="7"/>
  <c r="BF295" i="7"/>
  <c r="BF195" i="7"/>
  <c r="BF293" i="7"/>
  <c r="BF192" i="7"/>
  <c r="BF290" i="7"/>
  <c r="BF193" i="7"/>
  <c r="BF291" i="7"/>
  <c r="BF196" i="7"/>
  <c r="BF294" i="7"/>
  <c r="BF231" i="7"/>
  <c r="BF233" i="7"/>
  <c r="BF232" i="7"/>
  <c r="BF230" i="7"/>
  <c r="BF153" i="7"/>
  <c r="BF190" i="7"/>
  <c r="BF236" i="7"/>
  <c r="BF188" i="7"/>
  <c r="BF234" i="7"/>
  <c r="BF152" i="7"/>
  <c r="BF151" i="7"/>
  <c r="BF191" i="7"/>
  <c r="BF237" i="7"/>
  <c r="BF150" i="7"/>
  <c r="BF189" i="7"/>
  <c r="BF235" i="7"/>
  <c r="BF149" i="7"/>
  <c r="BF205" i="7"/>
  <c r="BE339" i="7"/>
  <c r="BF179" i="7"/>
  <c r="BE326" i="7"/>
  <c r="BF166" i="7"/>
  <c r="BF140" i="7"/>
  <c r="BE327" i="7"/>
  <c r="BF167" i="7"/>
  <c r="BF141" i="7"/>
  <c r="BE340" i="7"/>
  <c r="BF180" i="7"/>
  <c r="BE332" i="7"/>
  <c r="BF172" i="7"/>
  <c r="BE328" i="7"/>
  <c r="BF168" i="7"/>
  <c r="BF142" i="7"/>
  <c r="BE329" i="7"/>
  <c r="BF169" i="7"/>
  <c r="BF143" i="7"/>
  <c r="BE330" i="7"/>
  <c r="BF170" i="7"/>
  <c r="BE341" i="7"/>
  <c r="BF181" i="7"/>
  <c r="BF176" i="7"/>
  <c r="BE331" i="7"/>
  <c r="BF171" i="7"/>
  <c r="BE333" i="7"/>
  <c r="BF173" i="7"/>
  <c r="BF177" i="7"/>
  <c r="BF174" i="7"/>
  <c r="BF175" i="7"/>
  <c r="BF148" i="7"/>
  <c r="BE338" i="7"/>
  <c r="BF178" i="7"/>
  <c r="BF147" i="7"/>
  <c r="BF146" i="7"/>
  <c r="BF86" i="7"/>
  <c r="BF130" i="7"/>
  <c r="BF85" i="7"/>
  <c r="BF129" i="7"/>
  <c r="BF84" i="7"/>
  <c r="BF128" i="7"/>
  <c r="BF87" i="7"/>
  <c r="BF131" i="7"/>
  <c r="BE283" i="7"/>
  <c r="BE309" i="7"/>
  <c r="BE285" i="7"/>
  <c r="BE311" i="7"/>
  <c r="BE288" i="7"/>
  <c r="BE314" i="7"/>
  <c r="BE284" i="7"/>
  <c r="BE310" i="7"/>
  <c r="BE286" i="7"/>
  <c r="BE312" i="7"/>
  <c r="BE287" i="7"/>
  <c r="BE313" i="7"/>
  <c r="BE289" i="7"/>
  <c r="BE315" i="7"/>
  <c r="BE282" i="7"/>
  <c r="BE308" i="7"/>
  <c r="BE243" i="7"/>
  <c r="BE242" i="7"/>
  <c r="BE241" i="7"/>
  <c r="BE240" i="7"/>
  <c r="BE225" i="7"/>
  <c r="BE259" i="7"/>
  <c r="BE222" i="7"/>
  <c r="BE256" i="7"/>
  <c r="BE228" i="7"/>
  <c r="BE262" i="7"/>
  <c r="BE224" i="7"/>
  <c r="BE258" i="7"/>
  <c r="BE226" i="7"/>
  <c r="BE260" i="7"/>
  <c r="BE232" i="7"/>
  <c r="BE227" i="7"/>
  <c r="BE261" i="7"/>
  <c r="BE229" i="7"/>
  <c r="BE263" i="7"/>
  <c r="BE233" i="7"/>
  <c r="BE231" i="7"/>
  <c r="BE223" i="7"/>
  <c r="BE257" i="7"/>
  <c r="BE230" i="7"/>
  <c r="BE208" i="7"/>
  <c r="BE211" i="7"/>
  <c r="BE210" i="7"/>
  <c r="BE164" i="7"/>
  <c r="BE194" i="7"/>
  <c r="BE163" i="7"/>
  <c r="BE193" i="7"/>
  <c r="BE162" i="7"/>
  <c r="BE192" i="7"/>
  <c r="BE209" i="7"/>
  <c r="BE165" i="7"/>
  <c r="BE195" i="7"/>
  <c r="BE122" i="7"/>
  <c r="BE120" i="7"/>
  <c r="BE128" i="7"/>
  <c r="BE121" i="7"/>
  <c r="BE123" i="7"/>
  <c r="BE129" i="7"/>
  <c r="BE126" i="7"/>
  <c r="BE127" i="7"/>
  <c r="BE87" i="7"/>
  <c r="BE145" i="7"/>
  <c r="BE86" i="7"/>
  <c r="BE144" i="7"/>
  <c r="BE89" i="7"/>
  <c r="BE147" i="7"/>
  <c r="BE88" i="7"/>
  <c r="BE146" i="7"/>
  <c r="BE79" i="7"/>
  <c r="BE139" i="7"/>
  <c r="BE78" i="7"/>
  <c r="BE138" i="7"/>
  <c r="BE77" i="7"/>
  <c r="BE137" i="7"/>
  <c r="BE76" i="7"/>
  <c r="BE136" i="7"/>
  <c r="H35" i="7"/>
  <c r="E35" i="9" s="1"/>
  <c r="H11" i="7"/>
  <c r="E11" i="9" s="1"/>
  <c r="H130" i="7"/>
  <c r="E130" i="9" s="1"/>
  <c r="H100" i="7"/>
  <c r="E100" i="9" s="1"/>
  <c r="H19" i="7"/>
  <c r="E19" i="9" s="1"/>
  <c r="H146" i="7"/>
  <c r="E146" i="9" s="1"/>
  <c r="H119" i="7"/>
  <c r="E119" i="9" s="1"/>
  <c r="E91" i="9"/>
  <c r="H67" i="7"/>
  <c r="E67" i="9" s="1"/>
  <c r="H51" i="7"/>
  <c r="E51" i="9" s="1"/>
  <c r="H142" i="7"/>
  <c r="E142" i="9" s="1"/>
  <c r="H83" i="7"/>
  <c r="E83" i="9" s="1"/>
  <c r="H137" i="7"/>
  <c r="E137" i="9" s="1"/>
  <c r="B99" i="7"/>
  <c r="B100" i="9" s="1"/>
  <c r="B151" i="9"/>
  <c r="BE46" i="7"/>
  <c r="BF119" i="7" s="1"/>
  <c r="M90" i="7"/>
  <c r="BF34" i="7"/>
  <c r="BF30" i="7"/>
  <c r="M92" i="7"/>
  <c r="M94" i="7"/>
  <c r="BE30" i="7"/>
  <c r="B100" i="7"/>
  <c r="BE42" i="7"/>
  <c r="BE23" i="7"/>
  <c r="B67" i="7"/>
  <c r="B67" i="9" s="1"/>
  <c r="BE50" i="7"/>
  <c r="B75" i="7"/>
  <c r="B75" i="9" s="1"/>
  <c r="BE56" i="7"/>
  <c r="B91" i="7"/>
  <c r="B91" i="9" s="1"/>
  <c r="BE68" i="7"/>
  <c r="BE35" i="7"/>
  <c r="BF112" i="7" s="1"/>
  <c r="B83" i="7"/>
  <c r="B83" i="9" s="1"/>
  <c r="BE62" i="7"/>
  <c r="BE22" i="7"/>
  <c r="BE29" i="7"/>
  <c r="BF22" i="7"/>
  <c r="BF11" i="7"/>
  <c r="BF14" i="7"/>
  <c r="BF6" i="7"/>
  <c r="BF7" i="7"/>
  <c r="BF27" i="7"/>
  <c r="BF23" i="7"/>
  <c r="BF13" i="7"/>
  <c r="BF3" i="7"/>
  <c r="BE40" i="7"/>
  <c r="BE21" i="7"/>
  <c r="F85" i="7"/>
  <c r="D85" i="9" s="1"/>
  <c r="AP86" i="7"/>
  <c r="F84" i="7"/>
  <c r="D84" i="9" s="1"/>
  <c r="AP83" i="7"/>
  <c r="D84" i="7"/>
  <c r="B84" i="9" s="1"/>
  <c r="AP84" i="7"/>
  <c r="D92" i="7"/>
  <c r="B92" i="9" s="1"/>
  <c r="AP91" i="7"/>
  <c r="F92" i="7"/>
  <c r="D92" i="9" s="1"/>
  <c r="AP92" i="7"/>
  <c r="D69" i="7"/>
  <c r="AP67" i="7"/>
  <c r="D68" i="7"/>
  <c r="AP68" i="7"/>
  <c r="F69" i="7"/>
  <c r="AP70" i="7"/>
  <c r="D93" i="7"/>
  <c r="B93" i="9" s="1"/>
  <c r="AP93" i="7"/>
  <c r="D77" i="7"/>
  <c r="B77" i="9" s="1"/>
  <c r="AP77" i="7"/>
  <c r="F68" i="7"/>
  <c r="AP69" i="7"/>
  <c r="D76" i="7"/>
  <c r="B76" i="9" s="1"/>
  <c r="AP75" i="7"/>
  <c r="F93" i="7"/>
  <c r="D93" i="9" s="1"/>
  <c r="AP94" i="7"/>
  <c r="D85" i="7"/>
  <c r="B85" i="9" s="1"/>
  <c r="AP85" i="7"/>
  <c r="F76" i="7"/>
  <c r="D76" i="9" s="1"/>
  <c r="AP76" i="7"/>
  <c r="F77" i="7"/>
  <c r="D77" i="9" s="1"/>
  <c r="AP78" i="7"/>
  <c r="BE2" i="7"/>
  <c r="B3" i="7"/>
  <c r="B3" i="9" s="1"/>
  <c r="BE38" i="7"/>
  <c r="B51" i="7"/>
  <c r="B51" i="9" s="1"/>
  <c r="BE36" i="7"/>
  <c r="BF113" i="7" s="1"/>
  <c r="D45" i="7"/>
  <c r="BE27" i="7"/>
  <c r="D36" i="7"/>
  <c r="BE33" i="7"/>
  <c r="BF110" i="7" s="1"/>
  <c r="D44" i="7"/>
  <c r="AH44" i="7" s="1"/>
  <c r="D16" i="7"/>
  <c r="AH16" i="7" s="1"/>
  <c r="D14" i="7"/>
  <c r="AH14" i="7" s="1"/>
  <c r="BE34" i="7"/>
  <c r="BF111" i="7" s="1"/>
  <c r="F44" i="7"/>
  <c r="BE48" i="7"/>
  <c r="BF121" i="7" s="1"/>
  <c r="F61" i="7"/>
  <c r="BE20" i="7"/>
  <c r="B27" i="7"/>
  <c r="B27" i="9" s="1"/>
  <c r="BE24" i="7"/>
  <c r="F29" i="7"/>
  <c r="AL29" i="7" s="1"/>
  <c r="BE41" i="7"/>
  <c r="D53" i="7"/>
  <c r="AH53" i="7" s="1"/>
  <c r="D91" i="7"/>
  <c r="D67" i="7"/>
  <c r="D100" i="7"/>
  <c r="D75" i="7"/>
  <c r="D83" i="7"/>
  <c r="J67" i="7"/>
  <c r="H67" i="9" s="1"/>
  <c r="J91" i="7"/>
  <c r="H91" i="9" s="1"/>
  <c r="J100" i="7"/>
  <c r="H100" i="9" s="1"/>
  <c r="J75" i="7"/>
  <c r="H75" i="9" s="1"/>
  <c r="J83" i="7"/>
  <c r="H83" i="9" s="1"/>
  <c r="BE44" i="7"/>
  <c r="B59" i="7"/>
  <c r="B59" i="9" s="1"/>
  <c r="F55" i="7"/>
  <c r="D56" i="7"/>
  <c r="AH56" i="7" s="1"/>
  <c r="F33" i="7"/>
  <c r="AL33" i="7" s="1"/>
  <c r="F31" i="7"/>
  <c r="AL31" i="7" s="1"/>
  <c r="BE39" i="7"/>
  <c r="D52" i="7"/>
  <c r="F14" i="7"/>
  <c r="AL14" i="7" s="1"/>
  <c r="D17" i="7"/>
  <c r="AH17" i="7" s="1"/>
  <c r="D64" i="7"/>
  <c r="F63" i="7"/>
  <c r="AL63" i="7" s="1"/>
  <c r="BE47" i="7"/>
  <c r="BF120" i="7" s="1"/>
  <c r="D61" i="7"/>
  <c r="D47" i="7"/>
  <c r="AH47" i="7" s="1"/>
  <c r="D49" i="7"/>
  <c r="F30" i="7"/>
  <c r="AL30" i="7" s="1"/>
  <c r="D33" i="7"/>
  <c r="AH33" i="7" s="1"/>
  <c r="BE26" i="7"/>
  <c r="B35" i="7"/>
  <c r="B35" i="9" s="1"/>
  <c r="BE14" i="7"/>
  <c r="B19" i="7"/>
  <c r="B19" i="9" s="1"/>
  <c r="F15" i="7"/>
  <c r="AL15" i="7" s="1"/>
  <c r="F17" i="7"/>
  <c r="AL17" i="7" s="1"/>
  <c r="BE45" i="7"/>
  <c r="BF118" i="7" s="1"/>
  <c r="D60" i="7"/>
  <c r="AH60" i="7" s="1"/>
  <c r="BE32" i="7"/>
  <c r="B43" i="7"/>
  <c r="B43" i="9" s="1"/>
  <c r="D31" i="7"/>
  <c r="AH31" i="7" s="1"/>
  <c r="F32" i="7"/>
  <c r="AL32" i="7" s="1"/>
  <c r="D41" i="7"/>
  <c r="D39" i="7"/>
  <c r="D57" i="7"/>
  <c r="AH57" i="7" s="1"/>
  <c r="D55" i="7"/>
  <c r="F40" i="7"/>
  <c r="F38" i="7"/>
  <c r="BE8" i="7"/>
  <c r="B11" i="7"/>
  <c r="B11" i="9" s="1"/>
  <c r="BE28" i="7"/>
  <c r="F36" i="7"/>
  <c r="AL36" i="7" s="1"/>
  <c r="M14" i="7"/>
  <c r="M26" i="7"/>
  <c r="B239" i="9" s="1"/>
  <c r="M30" i="7"/>
  <c r="B243" i="9" s="1"/>
  <c r="D13" i="9"/>
  <c r="BE12" i="7"/>
  <c r="M22" i="7"/>
  <c r="B235" i="9" s="1"/>
  <c r="D12" i="7"/>
  <c r="BE9" i="7"/>
  <c r="M34" i="7"/>
  <c r="B247" i="9" s="1"/>
  <c r="M24" i="7"/>
  <c r="B237" i="9" s="1"/>
  <c r="D12" i="9"/>
  <c r="BE10" i="7"/>
  <c r="M32" i="7"/>
  <c r="B245" i="9" s="1"/>
  <c r="B13" i="9"/>
  <c r="BE11" i="7"/>
  <c r="M28" i="7"/>
  <c r="B241" i="9" s="1"/>
  <c r="AP45" i="7"/>
  <c r="AP53" i="7"/>
  <c r="D53" i="9"/>
  <c r="AP52" i="7"/>
  <c r="AP27" i="7"/>
  <c r="B29" i="9"/>
  <c r="D52" i="9"/>
  <c r="AP54" i="7"/>
  <c r="AP28" i="7"/>
  <c r="AP12" i="7"/>
  <c r="D21" i="7"/>
  <c r="AH21" i="7" s="1"/>
  <c r="AP21" i="7"/>
  <c r="B136" i="7"/>
  <c r="B137" i="9" s="1"/>
  <c r="B213" i="9"/>
  <c r="J43" i="7"/>
  <c r="H43" i="9" s="1"/>
  <c r="J137" i="7"/>
  <c r="H137" i="9" s="1"/>
  <c r="J27" i="7"/>
  <c r="H27" i="9" s="1"/>
  <c r="J142" i="7"/>
  <c r="H142" i="9" s="1"/>
  <c r="J3" i="7"/>
  <c r="H3" i="9" s="1"/>
  <c r="J35" i="7"/>
  <c r="H35" i="9" s="1"/>
  <c r="J51" i="7"/>
  <c r="H51" i="9" s="1"/>
  <c r="J119" i="7"/>
  <c r="H119" i="9" s="1"/>
  <c r="J59" i="7"/>
  <c r="H59" i="9" s="1"/>
  <c r="J146" i="7"/>
  <c r="H146" i="9" s="1"/>
  <c r="J19" i="7"/>
  <c r="H19" i="9" s="1"/>
  <c r="J11" i="7"/>
  <c r="H11" i="9" s="1"/>
  <c r="J130" i="7"/>
  <c r="D20" i="7"/>
  <c r="AH20" i="7" s="1"/>
  <c r="AP19" i="7"/>
  <c r="B130" i="7"/>
  <c r="B142" i="7"/>
  <c r="B119" i="7"/>
  <c r="B146" i="7"/>
  <c r="B137" i="7"/>
  <c r="AP43" i="7"/>
  <c r="D5" i="7"/>
  <c r="AP5" i="7"/>
  <c r="AP35" i="7"/>
  <c r="B37" i="9"/>
  <c r="AP51" i="7"/>
  <c r="F4" i="7"/>
  <c r="F6" i="7" s="1"/>
  <c r="AP4" i="7"/>
  <c r="D28" i="9"/>
  <c r="AP30" i="7"/>
  <c r="H3" i="7"/>
  <c r="E3" i="9" s="1"/>
  <c r="B129" i="7"/>
  <c r="B130" i="9" s="1"/>
  <c r="B203" i="9"/>
  <c r="AP59" i="7"/>
  <c r="B225" i="9"/>
  <c r="B149" i="7"/>
  <c r="AP22" i="7"/>
  <c r="F21" i="7"/>
  <c r="AL21" i="7" s="1"/>
  <c r="D45" i="9"/>
  <c r="AP44" i="7"/>
  <c r="B145" i="7"/>
  <c r="B146" i="9" s="1"/>
  <c r="B221" i="9"/>
  <c r="D60" i="9"/>
  <c r="AP62" i="7"/>
  <c r="F20" i="7"/>
  <c r="AL20" i="7" s="1"/>
  <c r="AP20" i="7"/>
  <c r="AP37" i="7"/>
  <c r="D37" i="9"/>
  <c r="AP36" i="7"/>
  <c r="AP46" i="7"/>
  <c r="AP14" i="7"/>
  <c r="AP13" i="7"/>
  <c r="B118" i="7"/>
  <c r="B119" i="9" s="1"/>
  <c r="B185" i="9"/>
  <c r="AP60" i="7"/>
  <c r="B230" i="9"/>
  <c r="M16" i="7"/>
  <c r="AP61" i="7"/>
  <c r="D19" i="7"/>
  <c r="D59" i="7"/>
  <c r="D35" i="7"/>
  <c r="D142" i="7"/>
  <c r="D27" i="7"/>
  <c r="D146" i="7"/>
  <c r="D3" i="7"/>
  <c r="D43" i="7"/>
  <c r="D11" i="7"/>
  <c r="D130" i="7"/>
  <c r="D137" i="7"/>
  <c r="D119" i="7"/>
  <c r="D51" i="7"/>
  <c r="AP3" i="7"/>
  <c r="D4" i="7"/>
  <c r="D7" i="7" s="1"/>
  <c r="B141" i="7"/>
  <c r="B142" i="9" s="1"/>
  <c r="B219" i="9"/>
  <c r="F5" i="7"/>
  <c r="AP6" i="7"/>
  <c r="AP38" i="7"/>
  <c r="B28" i="9"/>
  <c r="AP29" i="7"/>
  <c r="AP11" i="7"/>
  <c r="AH12" i="7" l="1"/>
  <c r="D15" i="7"/>
  <c r="BD269" i="7"/>
  <c r="BF97" i="7"/>
  <c r="BD301" i="7"/>
  <c r="BF115" i="7"/>
  <c r="BD320" i="7"/>
  <c r="BF104" i="7"/>
  <c r="BD303" i="7"/>
  <c r="BF117" i="7"/>
  <c r="BD268" i="7"/>
  <c r="BF96" i="7"/>
  <c r="BD323" i="7"/>
  <c r="BF107" i="7"/>
  <c r="BD300" i="7"/>
  <c r="BF114" i="7"/>
  <c r="BD322" i="7"/>
  <c r="BF106" i="7"/>
  <c r="BD325" i="7"/>
  <c r="BF109" i="7"/>
  <c r="BD324" i="7"/>
  <c r="BF108" i="7"/>
  <c r="BD267" i="7"/>
  <c r="BF95" i="7"/>
  <c r="BD319" i="7"/>
  <c r="BF103" i="7"/>
  <c r="BD302" i="7"/>
  <c r="BF116" i="7"/>
  <c r="BD321" i="7"/>
  <c r="BF105" i="7"/>
  <c r="BD266" i="7"/>
  <c r="BF94" i="7"/>
  <c r="BD318" i="7"/>
  <c r="BF102" i="7"/>
  <c r="BD270" i="7"/>
  <c r="BD292" i="7"/>
  <c r="BD273" i="7"/>
  <c r="BD295" i="7"/>
  <c r="BD277" i="7"/>
  <c r="BD299" i="7"/>
  <c r="BD272" i="7"/>
  <c r="BD294" i="7"/>
  <c r="BD271" i="7"/>
  <c r="BD293" i="7"/>
  <c r="BD276" i="7"/>
  <c r="BD298" i="7"/>
  <c r="BD275" i="7"/>
  <c r="BD297" i="7"/>
  <c r="BD274" i="7"/>
  <c r="BD296" i="7"/>
  <c r="BD193" i="7"/>
  <c r="BD215" i="7"/>
  <c r="BD245" i="7"/>
  <c r="BD192" i="7"/>
  <c r="BD214" i="7"/>
  <c r="BD244" i="7"/>
  <c r="BD195" i="7"/>
  <c r="BD217" i="7"/>
  <c r="BD247" i="7"/>
  <c r="BD219" i="7"/>
  <c r="BD249" i="7"/>
  <c r="BD221" i="7"/>
  <c r="BD251" i="7"/>
  <c r="BD250" i="7"/>
  <c r="BD220" i="7"/>
  <c r="BD194" i="7"/>
  <c r="BD216" i="7"/>
  <c r="BD246" i="7"/>
  <c r="BD218" i="7"/>
  <c r="BD248" i="7"/>
  <c r="BD149" i="7"/>
  <c r="BD167" i="7"/>
  <c r="BD199" i="7"/>
  <c r="BD173" i="7"/>
  <c r="BD151" i="7"/>
  <c r="BD169" i="7"/>
  <c r="BD198" i="7"/>
  <c r="BD172" i="7"/>
  <c r="BD201" i="7"/>
  <c r="BD179" i="7"/>
  <c r="BD148" i="7"/>
  <c r="BD166" i="7"/>
  <c r="BD197" i="7"/>
  <c r="BD171" i="7"/>
  <c r="BE250" i="7"/>
  <c r="BD176" i="7"/>
  <c r="BD180" i="7"/>
  <c r="BD202" i="7"/>
  <c r="BD150" i="7"/>
  <c r="BD168" i="7"/>
  <c r="BD181" i="7"/>
  <c r="BD203" i="7"/>
  <c r="BD200" i="7"/>
  <c r="BD178" i="7"/>
  <c r="BD196" i="7"/>
  <c r="BD170" i="7"/>
  <c r="BE251" i="7"/>
  <c r="BD177" i="7"/>
  <c r="BE249" i="7"/>
  <c r="BD175" i="7"/>
  <c r="BE248" i="7"/>
  <c r="BD174" i="7"/>
  <c r="BF316" i="7"/>
  <c r="BD152" i="7"/>
  <c r="BE294" i="7"/>
  <c r="BD142" i="7"/>
  <c r="BF319" i="7"/>
  <c r="BD155" i="7"/>
  <c r="BF318" i="7"/>
  <c r="BD154" i="7"/>
  <c r="BE292" i="7"/>
  <c r="BD140" i="7"/>
  <c r="BE293" i="7"/>
  <c r="BD141" i="7"/>
  <c r="BE295" i="7"/>
  <c r="BD143" i="7"/>
  <c r="BF317" i="7"/>
  <c r="BD153" i="7"/>
  <c r="BF308" i="7"/>
  <c r="BE270" i="7"/>
  <c r="BF310" i="7"/>
  <c r="BE272" i="7"/>
  <c r="BF309" i="7"/>
  <c r="BE271" i="7"/>
  <c r="BF311" i="7"/>
  <c r="BE273" i="7"/>
  <c r="BF313" i="7"/>
  <c r="BE153" i="7"/>
  <c r="BF312" i="7"/>
  <c r="BE152" i="7"/>
  <c r="BF315" i="7"/>
  <c r="BE155" i="7"/>
  <c r="BF314" i="7"/>
  <c r="BE154" i="7"/>
  <c r="BF277" i="7"/>
  <c r="BF323" i="7"/>
  <c r="BF260" i="7"/>
  <c r="BF306" i="7"/>
  <c r="BF274" i="7"/>
  <c r="BF320" i="7"/>
  <c r="BF276" i="7"/>
  <c r="BF322" i="7"/>
  <c r="BF259" i="7"/>
  <c r="BF305" i="7"/>
  <c r="BF278" i="7"/>
  <c r="BF324" i="7"/>
  <c r="BF279" i="7"/>
  <c r="BF325" i="7"/>
  <c r="BF258" i="7"/>
  <c r="BF304" i="7"/>
  <c r="BF281" i="7"/>
  <c r="BF327" i="7"/>
  <c r="BF275" i="7"/>
  <c r="BF321" i="7"/>
  <c r="BF261" i="7"/>
  <c r="BF307" i="7"/>
  <c r="BF280" i="7"/>
  <c r="BF326" i="7"/>
  <c r="BF217" i="7"/>
  <c r="BF269" i="7"/>
  <c r="BF221" i="7"/>
  <c r="BF273" i="7"/>
  <c r="BF211" i="7"/>
  <c r="BF263" i="7"/>
  <c r="BF213" i="7"/>
  <c r="BF265" i="7"/>
  <c r="BF220" i="7"/>
  <c r="BF272" i="7"/>
  <c r="BF210" i="7"/>
  <c r="BF262" i="7"/>
  <c r="BF214" i="7"/>
  <c r="BF266" i="7"/>
  <c r="BF216" i="7"/>
  <c r="BF268" i="7"/>
  <c r="BF219" i="7"/>
  <c r="BF271" i="7"/>
  <c r="BF215" i="7"/>
  <c r="BF267" i="7"/>
  <c r="BF212" i="7"/>
  <c r="BF264" i="7"/>
  <c r="BF218" i="7"/>
  <c r="BF270" i="7"/>
  <c r="BF225" i="7"/>
  <c r="BF247" i="7"/>
  <c r="BF226" i="7"/>
  <c r="BF248" i="7"/>
  <c r="BF208" i="7"/>
  <c r="BF242" i="7"/>
  <c r="BF222" i="7"/>
  <c r="BF244" i="7"/>
  <c r="BF224" i="7"/>
  <c r="BF246" i="7"/>
  <c r="BF207" i="7"/>
  <c r="BF241" i="7"/>
  <c r="BF227" i="7"/>
  <c r="BF249" i="7"/>
  <c r="BF206" i="7"/>
  <c r="BF240" i="7"/>
  <c r="BF229" i="7"/>
  <c r="BF251" i="7"/>
  <c r="BF223" i="7"/>
  <c r="BF245" i="7"/>
  <c r="BF209" i="7"/>
  <c r="BF243" i="7"/>
  <c r="BF228" i="7"/>
  <c r="BF250" i="7"/>
  <c r="BF163" i="7"/>
  <c r="BF185" i="7"/>
  <c r="BF164" i="7"/>
  <c r="BF186" i="7"/>
  <c r="BF165" i="7"/>
  <c r="BF187" i="7"/>
  <c r="BF162" i="7"/>
  <c r="BF184" i="7"/>
  <c r="BF138" i="7"/>
  <c r="BF160" i="7"/>
  <c r="BF80" i="7"/>
  <c r="BF137" i="7"/>
  <c r="BF159" i="7"/>
  <c r="BE318" i="7"/>
  <c r="BE320" i="7"/>
  <c r="BF136" i="7"/>
  <c r="BF158" i="7"/>
  <c r="BF83" i="7"/>
  <c r="BF82" i="7"/>
  <c r="BF133" i="7"/>
  <c r="BF155" i="7"/>
  <c r="BF132" i="7"/>
  <c r="BF154" i="7"/>
  <c r="BF135" i="7"/>
  <c r="BF157" i="7"/>
  <c r="BF139" i="7"/>
  <c r="BF161" i="7"/>
  <c r="BF134" i="7"/>
  <c r="BF156" i="7"/>
  <c r="BF81" i="7"/>
  <c r="BE319" i="7"/>
  <c r="BE321" i="7"/>
  <c r="BE306" i="7"/>
  <c r="BE305" i="7"/>
  <c r="BE307" i="7"/>
  <c r="BE298" i="7"/>
  <c r="BE324" i="7"/>
  <c r="BE297" i="7"/>
  <c r="BE323" i="7"/>
  <c r="BE304" i="7"/>
  <c r="BE296" i="7"/>
  <c r="BE322" i="7"/>
  <c r="BE299" i="7"/>
  <c r="BE325" i="7"/>
  <c r="BE281" i="7"/>
  <c r="BE303" i="7"/>
  <c r="BE280" i="7"/>
  <c r="BE302" i="7"/>
  <c r="BE266" i="7"/>
  <c r="BE269" i="7"/>
  <c r="BE279" i="7"/>
  <c r="BE301" i="7"/>
  <c r="BE267" i="7"/>
  <c r="BE278" i="7"/>
  <c r="BE300" i="7"/>
  <c r="BE268" i="7"/>
  <c r="BE245" i="7"/>
  <c r="BE275" i="7"/>
  <c r="BE244" i="7"/>
  <c r="BE274" i="7"/>
  <c r="BE247" i="7"/>
  <c r="BE277" i="7"/>
  <c r="BE246" i="7"/>
  <c r="BE276" i="7"/>
  <c r="BE219" i="7"/>
  <c r="BE253" i="7"/>
  <c r="BE221" i="7"/>
  <c r="BE255" i="7"/>
  <c r="BE218" i="7"/>
  <c r="BE252" i="7"/>
  <c r="BE220" i="7"/>
  <c r="BE254" i="7"/>
  <c r="BE201" i="7"/>
  <c r="BE200" i="7"/>
  <c r="BE197" i="7"/>
  <c r="BE215" i="7"/>
  <c r="BE196" i="7"/>
  <c r="BE214" i="7"/>
  <c r="BE199" i="7"/>
  <c r="BE217" i="7"/>
  <c r="BE203" i="7"/>
  <c r="BE198" i="7"/>
  <c r="BE216" i="7"/>
  <c r="BE202" i="7"/>
  <c r="BE179" i="7"/>
  <c r="BE205" i="7"/>
  <c r="BE167" i="7"/>
  <c r="BE166" i="7"/>
  <c r="BE169" i="7"/>
  <c r="BE180" i="7"/>
  <c r="BE206" i="7"/>
  <c r="BE168" i="7"/>
  <c r="BE178" i="7"/>
  <c r="BE204" i="7"/>
  <c r="BE181" i="7"/>
  <c r="BE207" i="7"/>
  <c r="BE157" i="7"/>
  <c r="BE171" i="7"/>
  <c r="BE156" i="7"/>
  <c r="BE170" i="7"/>
  <c r="BE103" i="7"/>
  <c r="BE177" i="7"/>
  <c r="BE102" i="7"/>
  <c r="BE176" i="7"/>
  <c r="BE159" i="7"/>
  <c r="BE173" i="7"/>
  <c r="BE100" i="7"/>
  <c r="BE174" i="7"/>
  <c r="BE158" i="7"/>
  <c r="BE172" i="7"/>
  <c r="BE101" i="7"/>
  <c r="BE175" i="7"/>
  <c r="BE83" i="7"/>
  <c r="BE143" i="7"/>
  <c r="BE81" i="7"/>
  <c r="BE141" i="7"/>
  <c r="BE97" i="7"/>
  <c r="BE149" i="7"/>
  <c r="BE99" i="7"/>
  <c r="BE151" i="7"/>
  <c r="BE98" i="7"/>
  <c r="BE150" i="7"/>
  <c r="BE80" i="7"/>
  <c r="BE140" i="7"/>
  <c r="BE96" i="7"/>
  <c r="BE148" i="7"/>
  <c r="BE82" i="7"/>
  <c r="BE142" i="7"/>
  <c r="BE118" i="7"/>
  <c r="BE91" i="7"/>
  <c r="BE116" i="7"/>
  <c r="BE90" i="7"/>
  <c r="BE106" i="7"/>
  <c r="BE109" i="7"/>
  <c r="BE93" i="7"/>
  <c r="BE108" i="7"/>
  <c r="BE92" i="7"/>
  <c r="BE117" i="7"/>
  <c r="BE119" i="7"/>
  <c r="BE107" i="7"/>
  <c r="F89" i="7"/>
  <c r="D89" i="9" s="1"/>
  <c r="AH85" i="7"/>
  <c r="F73" i="7"/>
  <c r="B69" i="9"/>
  <c r="AH69" i="7"/>
  <c r="D38" i="9"/>
  <c r="AL38" i="7"/>
  <c r="D97" i="7"/>
  <c r="B97" i="9" s="1"/>
  <c r="AL92" i="7"/>
  <c r="B36" i="9"/>
  <c r="AH36" i="7"/>
  <c r="D78" i="7"/>
  <c r="B78" i="9" s="1"/>
  <c r="AH76" i="7"/>
  <c r="D94" i="7"/>
  <c r="AH92" i="7"/>
  <c r="F46" i="7"/>
  <c r="AL46" i="7" s="1"/>
  <c r="AH45" i="7"/>
  <c r="B39" i="9"/>
  <c r="AH39" i="7"/>
  <c r="B49" i="9"/>
  <c r="AH49" i="7"/>
  <c r="D73" i="7"/>
  <c r="D68" i="9"/>
  <c r="AL68" i="7"/>
  <c r="F88" i="7"/>
  <c r="D88" i="9" s="1"/>
  <c r="AH84" i="7"/>
  <c r="B41" i="9"/>
  <c r="AH41" i="7"/>
  <c r="B61" i="9"/>
  <c r="AH61" i="7"/>
  <c r="D55" i="9"/>
  <c r="AL55" i="7"/>
  <c r="F80" i="7"/>
  <c r="D80" i="9" s="1"/>
  <c r="AH77" i="7"/>
  <c r="F87" i="7"/>
  <c r="D87" i="9" s="1"/>
  <c r="AL84" i="7"/>
  <c r="D40" i="9"/>
  <c r="AL40" i="7"/>
  <c r="F94" i="7"/>
  <c r="D94" i="9" s="1"/>
  <c r="AH93" i="7"/>
  <c r="D88" i="7"/>
  <c r="B88" i="9" s="1"/>
  <c r="AL85" i="7"/>
  <c r="B64" i="9"/>
  <c r="AH64" i="7"/>
  <c r="D61" i="9"/>
  <c r="AL61" i="7"/>
  <c r="B55" i="9"/>
  <c r="AH55" i="7"/>
  <c r="D81" i="7"/>
  <c r="B81" i="9" s="1"/>
  <c r="AL77" i="7"/>
  <c r="D72" i="7"/>
  <c r="D69" i="9"/>
  <c r="AL69" i="7"/>
  <c r="D44" i="9"/>
  <c r="AL44" i="7"/>
  <c r="D96" i="7"/>
  <c r="B96" i="9" s="1"/>
  <c r="AL93" i="7"/>
  <c r="B52" i="9"/>
  <c r="AH52" i="7"/>
  <c r="F79" i="7"/>
  <c r="D79" i="9" s="1"/>
  <c r="AL76" i="7"/>
  <c r="F72" i="7"/>
  <c r="B68" i="9"/>
  <c r="AH68" i="7"/>
  <c r="H130" i="9"/>
  <c r="F97" i="7"/>
  <c r="D97" i="9" s="1"/>
  <c r="F78" i="7"/>
  <c r="D78" i="9" s="1"/>
  <c r="D87" i="7"/>
  <c r="B87" i="9" s="1"/>
  <c r="F96" i="7"/>
  <c r="D96" i="9" s="1"/>
  <c r="D89" i="7"/>
  <c r="B89" i="9" s="1"/>
  <c r="D86" i="7"/>
  <c r="B86" i="9" s="1"/>
  <c r="D80" i="7"/>
  <c r="F86" i="7"/>
  <c r="D86" i="9" s="1"/>
  <c r="B45" i="9"/>
  <c r="F71" i="7"/>
  <c r="F95" i="7"/>
  <c r="D95" i="9" s="1"/>
  <c r="D70" i="7"/>
  <c r="D79" i="7"/>
  <c r="B79" i="9" s="1"/>
  <c r="D95" i="7"/>
  <c r="B95" i="9" s="1"/>
  <c r="F70" i="7"/>
  <c r="F81" i="7"/>
  <c r="D81" i="9" s="1"/>
  <c r="D71" i="7"/>
  <c r="D62" i="7"/>
  <c r="AH62" i="7" s="1"/>
  <c r="F65" i="7"/>
  <c r="F64" i="7"/>
  <c r="F62" i="7"/>
  <c r="D40" i="7"/>
  <c r="F39" i="7"/>
  <c r="F54" i="7"/>
  <c r="F56" i="7"/>
  <c r="F49" i="7"/>
  <c r="D46" i="7"/>
  <c r="D32" i="7"/>
  <c r="D30" i="7"/>
  <c r="F41" i="7"/>
  <c r="D38" i="7"/>
  <c r="B12" i="9"/>
  <c r="F16" i="7"/>
  <c r="D54" i="7"/>
  <c r="F57" i="7"/>
  <c r="B5" i="9"/>
  <c r="F7" i="7"/>
  <c r="D7" i="9" s="1"/>
  <c r="D36" i="9"/>
  <c r="B53" i="9"/>
  <c r="B21" i="9"/>
  <c r="F25" i="7"/>
  <c r="B44" i="9"/>
  <c r="D20" i="9"/>
  <c r="D25" i="7"/>
  <c r="D63" i="7"/>
  <c r="D65" i="7"/>
  <c r="B20" i="9"/>
  <c r="F24" i="7"/>
  <c r="D29" i="9"/>
  <c r="D48" i="7"/>
  <c r="F47" i="7"/>
  <c r="D5" i="9"/>
  <c r="D6" i="7"/>
  <c r="D8" i="7" s="1"/>
  <c r="B8" i="9" s="1"/>
  <c r="B60" i="9"/>
  <c r="D21" i="9"/>
  <c r="D24" i="7"/>
  <c r="AL4" i="7"/>
  <c r="D4" i="9"/>
  <c r="D9" i="7"/>
  <c r="B9" i="9" s="1"/>
  <c r="F23" i="7"/>
  <c r="D31" i="9"/>
  <c r="D33" i="9"/>
  <c r="D14" i="9"/>
  <c r="B17" i="9"/>
  <c r="D6" i="9"/>
  <c r="F9" i="7"/>
  <c r="D9" i="9" s="1"/>
  <c r="AH5" i="7"/>
  <c r="D30" i="9"/>
  <c r="B33" i="9"/>
  <c r="D32" i="9"/>
  <c r="B31" i="9"/>
  <c r="B56" i="9"/>
  <c r="F8" i="7"/>
  <c r="D8" i="9" s="1"/>
  <c r="AH4" i="7"/>
  <c r="B4" i="9"/>
  <c r="F22" i="7"/>
  <c r="D17" i="9"/>
  <c r="B14" i="9"/>
  <c r="B7" i="9"/>
  <c r="AL5" i="7"/>
  <c r="D63" i="9"/>
  <c r="B47" i="9"/>
  <c r="D22" i="7"/>
  <c r="F48" i="7"/>
  <c r="D23" i="7"/>
  <c r="D15" i="9"/>
  <c r="B16" i="9"/>
  <c r="B57" i="9"/>
  <c r="AS75" i="7" l="1"/>
  <c r="B80" i="9"/>
  <c r="AT91" i="7"/>
  <c r="B94" i="9"/>
  <c r="D46" i="9"/>
  <c r="AH86" i="7"/>
  <c r="AL79" i="7"/>
  <c r="AH78" i="7"/>
  <c r="AH80" i="7"/>
  <c r="AH87" i="7"/>
  <c r="AL88" i="7"/>
  <c r="AH94" i="7"/>
  <c r="AL97" i="7"/>
  <c r="AL94" i="7"/>
  <c r="AH97" i="7"/>
  <c r="AH96" i="7"/>
  <c r="AL81" i="7"/>
  <c r="AH95" i="7"/>
  <c r="AT67" i="7"/>
  <c r="AL87" i="7"/>
  <c r="AL96" i="7"/>
  <c r="AT70" i="7"/>
  <c r="AT85" i="7"/>
  <c r="AH81" i="7"/>
  <c r="AL80" i="7"/>
  <c r="AL86" i="7"/>
  <c r="AH88" i="7"/>
  <c r="AH89" i="7"/>
  <c r="AL78" i="7"/>
  <c r="AH79" i="7"/>
  <c r="AL95" i="7"/>
  <c r="AL89" i="7"/>
  <c r="D25" i="9"/>
  <c r="AL25" i="7"/>
  <c r="D49" i="9"/>
  <c r="AL49" i="7"/>
  <c r="D71" i="9"/>
  <c r="AL71" i="7"/>
  <c r="B24" i="9"/>
  <c r="AH24" i="7"/>
  <c r="D56" i="9"/>
  <c r="AL56" i="7"/>
  <c r="AS85" i="7"/>
  <c r="AS91" i="7"/>
  <c r="D62" i="9"/>
  <c r="AL62" i="7"/>
  <c r="D72" i="9"/>
  <c r="AL72" i="7"/>
  <c r="AS92" i="7"/>
  <c r="AT86" i="7"/>
  <c r="AT83" i="7"/>
  <c r="D23" i="9"/>
  <c r="AL23" i="7"/>
  <c r="B72" i="9"/>
  <c r="AH72" i="7"/>
  <c r="B48" i="9"/>
  <c r="AH48" i="7"/>
  <c r="B54" i="9"/>
  <c r="AH54" i="7"/>
  <c r="D65" i="9"/>
  <c r="AL65" i="7"/>
  <c r="AS86" i="7"/>
  <c r="AS83" i="7"/>
  <c r="AT84" i="7"/>
  <c r="B40" i="9"/>
  <c r="AH40" i="7"/>
  <c r="D16" i="9"/>
  <c r="AL16" i="7"/>
  <c r="AT93" i="7"/>
  <c r="AT77" i="7"/>
  <c r="AS84" i="7"/>
  <c r="D54" i="9"/>
  <c r="AL54" i="7"/>
  <c r="B73" i="9"/>
  <c r="AH73" i="7"/>
  <c r="AT75" i="7"/>
  <c r="D24" i="9"/>
  <c r="AL24" i="7"/>
  <c r="B15" i="9"/>
  <c r="AH15" i="7"/>
  <c r="B71" i="9"/>
  <c r="AH71" i="7"/>
  <c r="AS93" i="7"/>
  <c r="AS77" i="7"/>
  <c r="AS69" i="7"/>
  <c r="AS70" i="7"/>
  <c r="AT69" i="7"/>
  <c r="D39" i="9"/>
  <c r="AL39" i="7"/>
  <c r="D57" i="9"/>
  <c r="AL57" i="7"/>
  <c r="D48" i="9"/>
  <c r="AL48" i="7"/>
  <c r="B65" i="9"/>
  <c r="AH65" i="7"/>
  <c r="B38" i="9"/>
  <c r="AH38" i="7"/>
  <c r="D70" i="9"/>
  <c r="AL70" i="7"/>
  <c r="AT92" i="7"/>
  <c r="B23" i="9"/>
  <c r="AH23" i="7"/>
  <c r="AS68" i="7"/>
  <c r="AS78" i="7"/>
  <c r="AT94" i="7"/>
  <c r="D47" i="9"/>
  <c r="AL47" i="7"/>
  <c r="B22" i="9"/>
  <c r="AH22" i="7"/>
  <c r="B30" i="9"/>
  <c r="AH30" i="7"/>
  <c r="AT68" i="7"/>
  <c r="AT78" i="7"/>
  <c r="AS94" i="7"/>
  <c r="D73" i="9"/>
  <c r="AL73" i="7"/>
  <c r="D22" i="9"/>
  <c r="AL22" i="7"/>
  <c r="D64" i="9"/>
  <c r="AL64" i="7"/>
  <c r="D41" i="9"/>
  <c r="AL41" i="7"/>
  <c r="B25" i="9"/>
  <c r="AH25" i="7"/>
  <c r="B32" i="9"/>
  <c r="AH32" i="7"/>
  <c r="B70" i="9"/>
  <c r="AH70" i="7"/>
  <c r="AS76" i="7"/>
  <c r="B63" i="9"/>
  <c r="AH63" i="7"/>
  <c r="B46" i="9"/>
  <c r="AH46" i="7"/>
  <c r="AS67" i="7"/>
  <c r="AT76" i="7"/>
  <c r="AT37" i="7"/>
  <c r="B62" i="9"/>
  <c r="B6" i="9"/>
  <c r="AS37" i="7"/>
  <c r="AT38" i="7"/>
  <c r="AS38" i="7"/>
  <c r="AT35" i="7"/>
  <c r="AS35" i="7"/>
  <c r="AT36" i="7"/>
  <c r="AS36" i="7"/>
  <c r="AT46" i="7"/>
  <c r="AT4" i="7"/>
  <c r="AS6" i="7"/>
  <c r="AS12" i="7"/>
  <c r="AS28" i="7"/>
  <c r="AS4" i="7"/>
  <c r="AT13" i="7"/>
  <c r="AS51" i="7"/>
  <c r="AS20" i="7"/>
  <c r="AT12" i="7"/>
  <c r="AT14" i="7"/>
  <c r="AT11" i="7"/>
  <c r="AS13" i="7"/>
  <c r="AT20" i="7"/>
  <c r="AT44" i="7"/>
  <c r="AS14" i="7"/>
  <c r="AS45" i="7"/>
  <c r="AS11" i="7"/>
  <c r="AT51" i="7"/>
  <c r="AS46" i="7"/>
  <c r="AT62" i="7"/>
  <c r="AS30" i="7"/>
  <c r="AT61" i="7"/>
  <c r="AS44" i="7"/>
  <c r="AT27" i="7"/>
  <c r="AT45" i="7"/>
  <c r="AT28" i="7"/>
  <c r="AS52" i="7"/>
  <c r="AS62" i="7"/>
  <c r="AT5" i="7"/>
  <c r="AS53" i="7"/>
  <c r="AT30" i="7"/>
  <c r="AS61" i="7"/>
  <c r="AT29" i="7"/>
  <c r="AS27" i="7"/>
  <c r="AT21" i="7"/>
  <c r="AS60" i="7"/>
  <c r="AS29" i="7"/>
  <c r="AS21" i="7"/>
  <c r="AT53" i="7"/>
  <c r="AS22" i="7"/>
  <c r="AT54" i="7"/>
  <c r="AT60" i="7"/>
  <c r="AT43" i="7"/>
  <c r="AS5" i="7"/>
  <c r="AT22" i="7"/>
  <c r="AS54" i="7"/>
  <c r="AT6" i="7"/>
  <c r="AT52" i="7"/>
  <c r="AS43" i="7"/>
  <c r="AS3" i="7"/>
  <c r="AS19" i="7"/>
  <c r="AH9" i="7"/>
  <c r="AS59" i="7"/>
  <c r="AH7" i="7"/>
  <c r="AH6" i="7"/>
  <c r="AL6" i="7"/>
  <c r="AL7" i="7"/>
  <c r="AT3" i="7"/>
  <c r="AH8" i="7"/>
  <c r="AT59" i="7"/>
  <c r="AT19" i="7"/>
  <c r="AL8" i="7"/>
  <c r="AL9" i="7"/>
  <c r="AQ92" i="7" l="1"/>
  <c r="AU92" i="7"/>
  <c r="AU70" i="7"/>
  <c r="AU37" i="7"/>
  <c r="AU36" i="7"/>
  <c r="AU38" i="7"/>
  <c r="AW54" i="7"/>
  <c r="AW4" i="7"/>
  <c r="AV5" i="7"/>
  <c r="AQ53" i="7"/>
  <c r="AV91" i="7"/>
  <c r="AW30" i="7"/>
  <c r="AQ14" i="7"/>
  <c r="AQ37" i="7"/>
  <c r="AW84" i="7"/>
  <c r="AW94" i="7"/>
  <c r="AW36" i="7"/>
  <c r="AQ77" i="7"/>
  <c r="AQ62" i="7"/>
  <c r="AW11" i="7"/>
  <c r="AW13" i="7"/>
  <c r="AV61" i="7"/>
  <c r="AV27" i="7"/>
  <c r="AW70" i="7"/>
  <c r="AQ44" i="7"/>
  <c r="AV21" i="7"/>
  <c r="AW6" i="7"/>
  <c r="AV76" i="7"/>
  <c r="AV93" i="7"/>
  <c r="AQ13" i="7"/>
  <c r="AW28" i="7"/>
  <c r="AQ85" i="7"/>
  <c r="AV12" i="7"/>
  <c r="AV83" i="7"/>
  <c r="AW35" i="7"/>
  <c r="AQ30" i="7"/>
  <c r="AQ11" i="7"/>
  <c r="AW68" i="7"/>
  <c r="AV20" i="7"/>
  <c r="AQ70" i="7"/>
  <c r="AW44" i="7"/>
  <c r="AW21" i="7"/>
  <c r="AV38" i="7"/>
  <c r="AQ68" i="7"/>
  <c r="AV86" i="7"/>
  <c r="AW46" i="7"/>
  <c r="AV29" i="7"/>
  <c r="AQ29" i="7"/>
  <c r="AW29" i="7"/>
  <c r="AW86" i="7"/>
  <c r="AQ3" i="7"/>
  <c r="AW3" i="7"/>
  <c r="AQ86" i="7"/>
  <c r="AQ45" i="7"/>
  <c r="AV75" i="7"/>
  <c r="AQ67" i="7"/>
  <c r="AW22" i="7"/>
  <c r="AW43" i="7"/>
  <c r="AQ6" i="7"/>
  <c r="AV51" i="7"/>
  <c r="AQ60" i="7"/>
  <c r="AQ4" i="7"/>
  <c r="AW5" i="7"/>
  <c r="AQ28" i="7"/>
  <c r="AU94" i="7"/>
  <c r="AV19" i="7"/>
  <c r="AV14" i="7"/>
  <c r="AW69" i="7"/>
  <c r="AW60" i="7"/>
  <c r="AQ59" i="7"/>
  <c r="AQ54" i="7"/>
  <c r="AQ36" i="7"/>
  <c r="AV53" i="7"/>
  <c r="AW91" i="7"/>
  <c r="AV67" i="7"/>
  <c r="AQ22" i="7"/>
  <c r="AV37" i="7"/>
  <c r="AV52" i="7"/>
  <c r="AV84" i="7"/>
  <c r="AW27" i="7"/>
  <c r="AQ46" i="7"/>
  <c r="AV77" i="7"/>
  <c r="AV62" i="7"/>
  <c r="AV92" i="7"/>
  <c r="AQ43" i="7"/>
  <c r="AQ69" i="7"/>
  <c r="AQ61" i="7"/>
  <c r="AV59" i="7"/>
  <c r="AQ78" i="7"/>
  <c r="AQ5" i="7"/>
  <c r="AW53" i="7"/>
  <c r="AQ91" i="7"/>
  <c r="AQ76" i="7"/>
  <c r="AW93" i="7"/>
  <c r="AW61" i="7"/>
  <c r="AV4" i="7"/>
  <c r="AW20" i="7"/>
  <c r="AV85" i="7"/>
  <c r="AQ12" i="7"/>
  <c r="AW83" i="7"/>
  <c r="AQ35" i="7"/>
  <c r="AV30" i="7"/>
  <c r="AV11" i="7"/>
  <c r="AV13" i="7"/>
  <c r="AV54" i="7"/>
  <c r="AV45" i="7"/>
  <c r="AV94" i="7"/>
  <c r="AV70" i="7"/>
  <c r="AV44" i="7"/>
  <c r="AQ21" i="7"/>
  <c r="AW38" i="7"/>
  <c r="AW76" i="7"/>
  <c r="AQ93" i="7"/>
  <c r="AQ27" i="7"/>
  <c r="AV3" i="7"/>
  <c r="AW75" i="7"/>
  <c r="AW85" i="7"/>
  <c r="AW12" i="7"/>
  <c r="AQ83" i="7"/>
  <c r="AV6" i="7"/>
  <c r="AW51" i="7"/>
  <c r="AV68" i="7"/>
  <c r="AW59" i="7"/>
  <c r="AV36" i="7"/>
  <c r="AV28" i="7"/>
  <c r="AQ94" i="7"/>
  <c r="AW19" i="7"/>
  <c r="AW14" i="7"/>
  <c r="AV35" i="7"/>
  <c r="AQ38" i="7"/>
  <c r="AQ51" i="7"/>
  <c r="AQ84" i="7"/>
  <c r="AV46" i="7"/>
  <c r="AQ20" i="7"/>
  <c r="AQ75" i="7"/>
  <c r="AW67" i="7"/>
  <c r="AV22" i="7"/>
  <c r="AW37" i="7"/>
  <c r="AW52" i="7"/>
  <c r="AV60" i="7"/>
  <c r="AW45" i="7"/>
  <c r="AV78" i="7"/>
  <c r="AW77" i="7"/>
  <c r="AW62" i="7"/>
  <c r="AW92" i="7"/>
  <c r="AQ19" i="7"/>
  <c r="AV43" i="7"/>
  <c r="AV69" i="7"/>
  <c r="AQ52" i="7"/>
  <c r="AW78" i="7"/>
  <c r="AU75" i="7"/>
  <c r="AU86" i="7"/>
  <c r="AU84" i="7"/>
  <c r="AU93" i="7"/>
  <c r="AU35" i="7"/>
  <c r="AU67" i="7"/>
  <c r="AU76" i="7"/>
  <c r="AU69" i="7"/>
  <c r="AU68" i="7"/>
  <c r="AU85" i="7"/>
  <c r="AU83" i="7"/>
  <c r="AU91" i="7"/>
  <c r="AU78" i="7"/>
  <c r="AU77" i="7"/>
  <c r="AU11" i="7"/>
  <c r="AU14" i="7"/>
  <c r="AU13" i="7"/>
  <c r="AU12" i="7"/>
  <c r="AU51" i="7"/>
  <c r="AU28" i="7"/>
  <c r="AU54" i="7"/>
  <c r="AU45" i="7"/>
  <c r="AU3" i="7"/>
  <c r="AU6" i="7"/>
  <c r="AU4" i="7"/>
  <c r="AU27" i="7"/>
  <c r="AU20" i="7"/>
  <c r="AU43" i="7"/>
  <c r="AU21" i="7"/>
  <c r="AU19" i="7"/>
  <c r="AU22" i="7"/>
  <c r="AU46" i="7"/>
  <c r="AU5" i="7"/>
  <c r="AU61" i="7"/>
  <c r="AU30" i="7"/>
  <c r="AU62" i="7"/>
  <c r="AU53" i="7"/>
  <c r="AU59" i="7"/>
  <c r="AU29" i="7"/>
  <c r="AU52" i="7"/>
  <c r="AU60" i="7"/>
  <c r="AU44" i="7"/>
  <c r="AR68" i="7" l="1"/>
  <c r="AX75" i="7"/>
  <c r="AR92" i="7"/>
  <c r="AR94" i="7"/>
  <c r="AR86" i="7"/>
  <c r="AX94" i="7"/>
  <c r="AR77" i="7"/>
  <c r="AX93" i="7"/>
  <c r="AR67" i="7"/>
  <c r="AX68" i="7"/>
  <c r="AR78" i="7"/>
  <c r="AR69" i="7"/>
  <c r="AX76" i="7"/>
  <c r="AR85" i="7"/>
  <c r="AR70" i="7"/>
  <c r="AZ70" i="7" s="1"/>
  <c r="AX69" i="7"/>
  <c r="AX92" i="7"/>
  <c r="AX85" i="7"/>
  <c r="AX77" i="7"/>
  <c r="AX83" i="7"/>
  <c r="AR76" i="7"/>
  <c r="AX67" i="7"/>
  <c r="AX78" i="7"/>
  <c r="AR84" i="7"/>
  <c r="AX86" i="7"/>
  <c r="AX70" i="7"/>
  <c r="AV681" i="7"/>
  <c r="AX91" i="7"/>
  <c r="AR91" i="7"/>
  <c r="AR93" i="7"/>
  <c r="AZ93" i="7" s="1"/>
  <c r="AR83" i="7"/>
  <c r="AZ83" i="7" s="1"/>
  <c r="AX84" i="7"/>
  <c r="AR75" i="7"/>
  <c r="AR12" i="7"/>
  <c r="AX11" i="7"/>
  <c r="AR11" i="7"/>
  <c r="AR13" i="7"/>
  <c r="AX14" i="7"/>
  <c r="AX13" i="7"/>
  <c r="AR14" i="7"/>
  <c r="AX12" i="7"/>
  <c r="AR22" i="7"/>
  <c r="AR60" i="7"/>
  <c r="AX52" i="7"/>
  <c r="AX38" i="7"/>
  <c r="AX27" i="7"/>
  <c r="AX53" i="7"/>
  <c r="AR38" i="7"/>
  <c r="AZ38" i="7" s="1"/>
  <c r="AR35" i="7"/>
  <c r="AX29" i="7"/>
  <c r="AR51" i="7"/>
  <c r="AX37" i="7"/>
  <c r="AR29" i="7"/>
  <c r="AX19" i="7"/>
  <c r="AX21" i="7"/>
  <c r="AX30" i="7"/>
  <c r="AR37" i="7"/>
  <c r="AR59" i="7"/>
  <c r="AX60" i="7"/>
  <c r="AX51" i="7"/>
  <c r="AX45" i="7"/>
  <c r="AR4" i="7"/>
  <c r="AZ4" i="7" s="1"/>
  <c r="AX44" i="7"/>
  <c r="AX62" i="7"/>
  <c r="AR61" i="7"/>
  <c r="AX43" i="7"/>
  <c r="AR43" i="7"/>
  <c r="AX36" i="7"/>
  <c r="AR20" i="7"/>
  <c r="AX59" i="7"/>
  <c r="AX28" i="7"/>
  <c r="AR3" i="7"/>
  <c r="AX6" i="7"/>
  <c r="AR6" i="7"/>
  <c r="AX3" i="7"/>
  <c r="AX35" i="7"/>
  <c r="AR54" i="7"/>
  <c r="AZ54" i="7" s="1"/>
  <c r="AR62" i="7"/>
  <c r="AZ62" i="7" s="1"/>
  <c r="AX4" i="7"/>
  <c r="AX20" i="7"/>
  <c r="AR36" i="7"/>
  <c r="AR5" i="7"/>
  <c r="AR30" i="7"/>
  <c r="AR27" i="7"/>
  <c r="AR21" i="7"/>
  <c r="AR45" i="7"/>
  <c r="AR52" i="7"/>
  <c r="AR19" i="7"/>
  <c r="AX54" i="7"/>
  <c r="AR46" i="7"/>
  <c r="AR28" i="7"/>
  <c r="AR53" i="7"/>
  <c r="AR44" i="7"/>
  <c r="AZ44" i="7" s="1"/>
  <c r="AX5" i="7"/>
  <c r="AX61" i="7"/>
  <c r="AX46" i="7"/>
  <c r="AX22" i="7"/>
  <c r="AZ21" i="7" l="1"/>
  <c r="AZ13" i="7"/>
  <c r="AZ76" i="7"/>
  <c r="AZ29" i="7"/>
  <c r="AZ43" i="7"/>
  <c r="AZ20" i="7"/>
  <c r="AZ51" i="7"/>
  <c r="AZ69" i="7"/>
  <c r="AZ78" i="7"/>
  <c r="AZ59" i="7"/>
  <c r="AZ22" i="7"/>
  <c r="AZ85" i="7"/>
  <c r="AZ53" i="7"/>
  <c r="AZ60" i="7"/>
  <c r="AZ37" i="7"/>
  <c r="AO37" i="7" s="1"/>
  <c r="AN37" i="7" s="1"/>
  <c r="AZ67" i="7"/>
  <c r="AO69" i="7" s="1"/>
  <c r="AN69" i="7" s="1"/>
  <c r="AZ91" i="7"/>
  <c r="AZ28" i="7"/>
  <c r="AZ6" i="7"/>
  <c r="AZ3" i="7"/>
  <c r="AZ14" i="7"/>
  <c r="AZ84" i="7"/>
  <c r="AZ46" i="7"/>
  <c r="AZ77" i="7"/>
  <c r="AZ19" i="7"/>
  <c r="AZ52" i="7"/>
  <c r="AZ45" i="7"/>
  <c r="AZ86" i="7"/>
  <c r="AZ11" i="7"/>
  <c r="AZ94" i="7"/>
  <c r="AZ92" i="7"/>
  <c r="AZ12" i="7"/>
  <c r="AO12" i="7" s="1"/>
  <c r="AN12" i="7" s="1"/>
  <c r="AZ27" i="7"/>
  <c r="AZ30" i="7"/>
  <c r="AZ5" i="7"/>
  <c r="AZ36" i="7"/>
  <c r="AZ61" i="7"/>
  <c r="AZ35" i="7"/>
  <c r="AZ75" i="7"/>
  <c r="AZ68" i="7"/>
  <c r="AY683" i="7"/>
  <c r="AV683" i="7" s="1"/>
  <c r="AY693" i="7"/>
  <c r="AV693" i="7" s="1"/>
  <c r="AY681" i="7"/>
  <c r="AY697" i="7"/>
  <c r="AV697" i="7" s="1"/>
  <c r="AO22" i="7" l="1"/>
  <c r="AN22" i="7" s="1"/>
  <c r="AO60" i="7"/>
  <c r="AN60" i="7" s="1"/>
  <c r="AO52" i="7"/>
  <c r="AN52" i="7" s="1"/>
  <c r="AO54" i="7"/>
  <c r="AN54" i="7" s="1"/>
  <c r="AO20" i="7"/>
  <c r="AN20" i="7" s="1"/>
  <c r="AO19" i="7"/>
  <c r="AO29" i="7"/>
  <c r="AN29" i="7" s="1"/>
  <c r="AO93" i="7"/>
  <c r="AN93" i="7" s="1"/>
  <c r="AO53" i="7"/>
  <c r="AN53" i="7" s="1"/>
  <c r="AO51" i="7"/>
  <c r="AO21" i="7"/>
  <c r="AN21" i="7" s="1"/>
  <c r="AO35" i="7"/>
  <c r="AO70" i="7"/>
  <c r="AN70" i="7" s="1"/>
  <c r="AO83" i="7"/>
  <c r="AO14" i="7"/>
  <c r="AN14" i="7" s="1"/>
  <c r="AO94" i="7"/>
  <c r="AN94" i="7" s="1"/>
  <c r="AO78" i="7"/>
  <c r="AN78" i="7" s="1"/>
  <c r="AO36" i="7"/>
  <c r="AN36" i="7" s="1"/>
  <c r="AO92" i="7"/>
  <c r="AN92" i="7" s="1"/>
  <c r="AO91" i="7"/>
  <c r="AO44" i="7"/>
  <c r="AN44" i="7" s="1"/>
  <c r="AO61" i="7"/>
  <c r="AN61" i="7" s="1"/>
  <c r="AO68" i="7"/>
  <c r="AN68" i="7" s="1"/>
  <c r="AO27" i="7"/>
  <c r="AO30" i="7"/>
  <c r="AN30" i="7" s="1"/>
  <c r="AO28" i="7"/>
  <c r="AN28" i="7" s="1"/>
  <c r="AO59" i="7"/>
  <c r="AO76" i="7"/>
  <c r="AN76" i="7" s="1"/>
  <c r="AO62" i="7"/>
  <c r="AN62" i="7" s="1"/>
  <c r="AO85" i="7"/>
  <c r="AN85" i="7" s="1"/>
  <c r="AO45" i="7"/>
  <c r="AN45" i="7" s="1"/>
  <c r="AO77" i="7"/>
  <c r="AN77" i="7" s="1"/>
  <c r="AO11" i="7"/>
  <c r="AO86" i="7"/>
  <c r="AN86" i="7" s="1"/>
  <c r="AO84" i="7"/>
  <c r="AN84" i="7" s="1"/>
  <c r="AO43" i="7"/>
  <c r="AO75" i="7"/>
  <c r="AO46" i="7"/>
  <c r="AN46" i="7" s="1"/>
  <c r="AO13" i="7"/>
  <c r="AN13" i="7" s="1"/>
  <c r="AO67" i="7"/>
  <c r="AO38" i="7"/>
  <c r="AN38" i="7" s="1"/>
  <c r="AY698" i="7"/>
  <c r="AV698" i="7" s="1"/>
  <c r="AY696" i="7"/>
  <c r="AV696" i="7" s="1"/>
  <c r="AY692" i="7"/>
  <c r="AV692" i="7" s="1"/>
  <c r="AY694" i="7"/>
  <c r="AV694" i="7" s="1"/>
  <c r="AW700" i="7"/>
  <c r="AV700" i="7" s="1"/>
  <c r="AY695" i="7"/>
  <c r="AV695" i="7" s="1"/>
  <c r="AY682" i="7"/>
  <c r="AV682" i="7" s="1"/>
  <c r="AW699" i="7"/>
  <c r="AV699" i="7" s="1"/>
  <c r="AY684" i="7"/>
  <c r="AV684" i="7" s="1"/>
  <c r="AZ103" i="7" l="1"/>
  <c r="AZ107" i="7"/>
  <c r="AA63" i="7"/>
  <c r="C63" i="2" s="1"/>
  <c r="AZ108" i="7"/>
  <c r="AC48" i="7"/>
  <c r="E48" i="2" s="1"/>
  <c r="AZ105" i="7"/>
  <c r="AA27" i="7"/>
  <c r="AZ102" i="7"/>
  <c r="AE15" i="7"/>
  <c r="G15" i="2" s="1"/>
  <c r="AZ100" i="7"/>
  <c r="AB21" i="7"/>
  <c r="D21" i="2" s="1"/>
  <c r="AZ101" i="7"/>
  <c r="AZ109" i="7"/>
  <c r="AB54" i="7"/>
  <c r="D54" i="2" s="1"/>
  <c r="AZ106" i="7"/>
  <c r="AB42" i="7"/>
  <c r="D42" i="2" s="1"/>
  <c r="AZ104" i="7"/>
  <c r="AX99" i="7"/>
  <c r="AZ99" i="7"/>
  <c r="AA34" i="7"/>
  <c r="Z69" i="7"/>
  <c r="B69" i="2" s="1"/>
  <c r="AC57" i="7"/>
  <c r="E57" i="2" s="1"/>
  <c r="AB15" i="7"/>
  <c r="D15" i="2" s="1"/>
  <c r="AB34" i="7"/>
  <c r="D34" i="2" s="1"/>
  <c r="AD33" i="7"/>
  <c r="F33" i="2" s="1"/>
  <c r="AC34" i="7"/>
  <c r="E34" i="2" s="1"/>
  <c r="AE33" i="7"/>
  <c r="G33" i="2" s="1"/>
  <c r="AC33" i="7"/>
  <c r="E33" i="2" s="1"/>
  <c r="AB16" i="7"/>
  <c r="D16" i="2" s="1"/>
  <c r="AE16" i="7"/>
  <c r="G16" i="2" s="1"/>
  <c r="AD34" i="7"/>
  <c r="F34" i="2" s="1"/>
  <c r="Z15" i="7"/>
  <c r="B15" i="2" s="1"/>
  <c r="AN91" i="7"/>
  <c r="Z16" i="7"/>
  <c r="B16" i="2" s="1"/>
  <c r="AN19" i="7"/>
  <c r="AD15" i="7"/>
  <c r="F15" i="2" s="1"/>
  <c r="AC16" i="7"/>
  <c r="E16" i="2" s="1"/>
  <c r="AA16" i="7"/>
  <c r="AC40" i="7"/>
  <c r="E40" i="2" s="1"/>
  <c r="AB41" i="7"/>
  <c r="D41" i="2" s="1"/>
  <c r="AD16" i="7"/>
  <c r="F16" i="2" s="1"/>
  <c r="AA70" i="7"/>
  <c r="C70" i="2" s="1"/>
  <c r="AE48" i="7"/>
  <c r="G48" i="2" s="1"/>
  <c r="AE27" i="7"/>
  <c r="G27" i="2" s="1"/>
  <c r="AC47" i="7"/>
  <c r="E47" i="2" s="1"/>
  <c r="AW100" i="7"/>
  <c r="AD48" i="7"/>
  <c r="F48" i="2" s="1"/>
  <c r="AD57" i="7"/>
  <c r="F57" i="2" s="1"/>
  <c r="AP100" i="7"/>
  <c r="AY100" i="7"/>
  <c r="AY104" i="7"/>
  <c r="AC17" i="7"/>
  <c r="E17" i="2" s="1"/>
  <c r="AE17" i="7"/>
  <c r="G17" i="2" s="1"/>
  <c r="AA42" i="7"/>
  <c r="C42" i="2" s="1"/>
  <c r="AB18" i="7"/>
  <c r="D18" i="2" s="1"/>
  <c r="AE41" i="7"/>
  <c r="G41" i="2" s="1"/>
  <c r="AT104" i="7"/>
  <c r="AA41" i="7"/>
  <c r="C41" i="2" s="1"/>
  <c r="AC41" i="7"/>
  <c r="E41" i="2" s="1"/>
  <c r="AA15" i="7"/>
  <c r="C15" i="2" s="1"/>
  <c r="AD40" i="7"/>
  <c r="F40" i="2" s="1"/>
  <c r="AA40" i="7"/>
  <c r="C40" i="2" s="1"/>
  <c r="AE40" i="7"/>
  <c r="G40" i="2" s="1"/>
  <c r="AX104" i="7"/>
  <c r="AA47" i="7"/>
  <c r="C47" i="2" s="1"/>
  <c r="AD45" i="7"/>
  <c r="F45" i="2" s="1"/>
  <c r="AB39" i="7"/>
  <c r="D39" i="2" s="1"/>
  <c r="AV104" i="7"/>
  <c r="AD18" i="7"/>
  <c r="F18" i="2" s="1"/>
  <c r="Z39" i="7"/>
  <c r="B39" i="2" s="1"/>
  <c r="AC18" i="7"/>
  <c r="E18" i="2" s="1"/>
  <c r="Z40" i="7"/>
  <c r="B40" i="2" s="1"/>
  <c r="AE22" i="7"/>
  <c r="G22" i="2" s="1"/>
  <c r="AD39" i="7"/>
  <c r="F39" i="2" s="1"/>
  <c r="Z21" i="7"/>
  <c r="B21" i="2" s="1"/>
  <c r="Z41" i="7"/>
  <c r="B41" i="2" s="1"/>
  <c r="AQ104" i="7"/>
  <c r="AU100" i="7"/>
  <c r="Z24" i="7"/>
  <c r="B24" i="2" s="1"/>
  <c r="AB70" i="7"/>
  <c r="D70" i="2" s="1"/>
  <c r="AN83" i="7"/>
  <c r="AR108" i="7"/>
  <c r="AD22" i="7"/>
  <c r="F22" i="2" s="1"/>
  <c r="AE46" i="7"/>
  <c r="G46" i="2" s="1"/>
  <c r="AT100" i="7"/>
  <c r="AD41" i="7"/>
  <c r="F41" i="2" s="1"/>
  <c r="AE39" i="7"/>
  <c r="G39" i="2" s="1"/>
  <c r="AC35" i="7"/>
  <c r="E35" i="2" s="1"/>
  <c r="AA24" i="7"/>
  <c r="C24" i="2" s="1"/>
  <c r="AB17" i="7"/>
  <c r="D17" i="2" s="1"/>
  <c r="AC45" i="7"/>
  <c r="E45" i="2" s="1"/>
  <c r="AS100" i="7"/>
  <c r="AA48" i="7"/>
  <c r="C48" i="2" s="1"/>
  <c r="AV100" i="7"/>
  <c r="AD35" i="7"/>
  <c r="F35" i="2" s="1"/>
  <c r="AX100" i="7"/>
  <c r="AB46" i="7"/>
  <c r="D46" i="2" s="1"/>
  <c r="AQ100" i="7"/>
  <c r="AD21" i="7"/>
  <c r="F21" i="2" s="1"/>
  <c r="AC15" i="7"/>
  <c r="E15" i="2" s="1"/>
  <c r="AB45" i="7"/>
  <c r="D45" i="2" s="1"/>
  <c r="AC42" i="7"/>
  <c r="E42" i="2" s="1"/>
  <c r="Z70" i="7"/>
  <c r="B70" i="2" s="1"/>
  <c r="AT108" i="7"/>
  <c r="AE66" i="7"/>
  <c r="G66" i="2" s="1"/>
  <c r="AD27" i="7"/>
  <c r="F27" i="2" s="1"/>
  <c r="AD66" i="7"/>
  <c r="F66" i="2" s="1"/>
  <c r="AA36" i="7"/>
  <c r="C36" i="2" s="1"/>
  <c r="AX105" i="7"/>
  <c r="AR101" i="7"/>
  <c r="AB23" i="7"/>
  <c r="D23" i="2" s="1"/>
  <c r="AQ105" i="7"/>
  <c r="AC59" i="7"/>
  <c r="E59" i="2" s="1"/>
  <c r="AB27" i="7"/>
  <c r="D27" i="2" s="1"/>
  <c r="AB40" i="7"/>
  <c r="D40" i="2" s="1"/>
  <c r="AA18" i="7"/>
  <c r="C18" i="2" s="1"/>
  <c r="AE42" i="7"/>
  <c r="G42" i="2" s="1"/>
  <c r="Z45" i="7"/>
  <c r="B45" i="2" s="1"/>
  <c r="AN59" i="7"/>
  <c r="AU105" i="7"/>
  <c r="Z12" i="7"/>
  <c r="B12" i="2" s="1"/>
  <c r="AB24" i="7"/>
  <c r="D24" i="2" s="1"/>
  <c r="AB22" i="7"/>
  <c r="D22" i="2" s="1"/>
  <c r="AS105" i="7"/>
  <c r="AE18" i="7"/>
  <c r="G18" i="2" s="1"/>
  <c r="AC22" i="7"/>
  <c r="E22" i="2" s="1"/>
  <c r="AD42" i="7"/>
  <c r="F42" i="2" s="1"/>
  <c r="Z48" i="7"/>
  <c r="B48" i="2" s="1"/>
  <c r="AN51" i="7"/>
  <c r="AP104" i="7"/>
  <c r="AC27" i="7"/>
  <c r="E27" i="2" s="1"/>
  <c r="AD23" i="7"/>
  <c r="F23" i="2" s="1"/>
  <c r="AD46" i="7"/>
  <c r="F46" i="2" s="1"/>
  <c r="AA39" i="7"/>
  <c r="D109" i="7" s="1"/>
  <c r="Z42" i="7"/>
  <c r="B42" i="2" s="1"/>
  <c r="AR104" i="7"/>
  <c r="AB28" i="7"/>
  <c r="D28" i="2" s="1"/>
  <c r="AA64" i="7"/>
  <c r="C64" i="2" s="1"/>
  <c r="Z30" i="7"/>
  <c r="B30" i="2" s="1"/>
  <c r="AB12" i="7"/>
  <c r="D12" i="2" s="1"/>
  <c r="AA12" i="7"/>
  <c r="C12" i="2" s="1"/>
  <c r="AX109" i="7"/>
  <c r="Z10" i="7"/>
  <c r="B10" i="2" s="1"/>
  <c r="AC64" i="7"/>
  <c r="E64" i="2" s="1"/>
  <c r="AE71" i="7"/>
  <c r="G71" i="2" s="1"/>
  <c r="Z29" i="7"/>
  <c r="B29" i="2" s="1"/>
  <c r="AA23" i="7"/>
  <c r="C23" i="2" s="1"/>
  <c r="Z23" i="7"/>
  <c r="B23" i="2" s="1"/>
  <c r="AW99" i="7"/>
  <c r="AX108" i="7"/>
  <c r="AD71" i="7"/>
  <c r="F71" i="2" s="1"/>
  <c r="AA21" i="7"/>
  <c r="C21" i="2" s="1"/>
  <c r="Z22" i="7"/>
  <c r="B22" i="2" s="1"/>
  <c r="AN35" i="7"/>
  <c r="AY101" i="7"/>
  <c r="AY108" i="7"/>
  <c r="AE45" i="7"/>
  <c r="G45" i="2" s="1"/>
  <c r="AA17" i="7"/>
  <c r="C17" i="2" s="1"/>
  <c r="AC46" i="7"/>
  <c r="E46" i="2" s="1"/>
  <c r="AC39" i="7"/>
  <c r="E39" i="2" s="1"/>
  <c r="AC23" i="7"/>
  <c r="E23" i="2" s="1"/>
  <c r="AC21" i="7"/>
  <c r="E21" i="2" s="1"/>
  <c r="AP101" i="7"/>
  <c r="AP108" i="7"/>
  <c r="AE72" i="7"/>
  <c r="G72" i="2" s="1"/>
  <c r="AU99" i="7"/>
  <c r="AB48" i="7"/>
  <c r="D48" i="2" s="1"/>
  <c r="AE47" i="7"/>
  <c r="G47" i="2" s="1"/>
  <c r="AE23" i="7"/>
  <c r="G23" i="2" s="1"/>
  <c r="AQ108" i="7"/>
  <c r="AW109" i="7"/>
  <c r="AX107" i="7"/>
  <c r="AD11" i="7"/>
  <c r="F11" i="2" s="1"/>
  <c r="AY99" i="7"/>
  <c r="AB64" i="7"/>
  <c r="D64" i="2" s="1"/>
  <c r="AP99" i="7"/>
  <c r="AB65" i="7"/>
  <c r="D65" i="2" s="1"/>
  <c r="AD28" i="7"/>
  <c r="F28" i="2" s="1"/>
  <c r="AT99" i="7"/>
  <c r="AD64" i="7"/>
  <c r="F64" i="2" s="1"/>
  <c r="AC71" i="7"/>
  <c r="E71" i="2" s="1"/>
  <c r="AE9" i="7"/>
  <c r="G9" i="2" s="1"/>
  <c r="AC9" i="7"/>
  <c r="E9" i="2" s="1"/>
  <c r="AA28" i="7"/>
  <c r="AB71" i="7"/>
  <c r="D71" i="2" s="1"/>
  <c r="AP102" i="7"/>
  <c r="Z64" i="7"/>
  <c r="B64" i="2" s="1"/>
  <c r="AE29" i="7"/>
  <c r="G29" i="2" s="1"/>
  <c r="AB29" i="7"/>
  <c r="D29" i="2" s="1"/>
  <c r="AY109" i="7"/>
  <c r="AR102" i="7"/>
  <c r="AC66" i="7"/>
  <c r="E66" i="2" s="1"/>
  <c r="AA71" i="7"/>
  <c r="C71" i="2" s="1"/>
  <c r="AB9" i="7"/>
  <c r="D9" i="2" s="1"/>
  <c r="AC29" i="7"/>
  <c r="E29" i="2" s="1"/>
  <c r="AQ109" i="7"/>
  <c r="AU102" i="7"/>
  <c r="AB66" i="7"/>
  <c r="D66" i="2" s="1"/>
  <c r="Z71" i="7"/>
  <c r="B71" i="2" s="1"/>
  <c r="AC30" i="7"/>
  <c r="E30" i="2" s="1"/>
  <c r="AR109" i="7"/>
  <c r="AP107" i="7"/>
  <c r="AW102" i="7"/>
  <c r="AA66" i="7"/>
  <c r="C66" i="2" s="1"/>
  <c r="AT101" i="7"/>
  <c r="AD29" i="7"/>
  <c r="F29" i="2" s="1"/>
  <c r="AB11" i="7"/>
  <c r="D11" i="2" s="1"/>
  <c r="AS109" i="7"/>
  <c r="AR100" i="7"/>
  <c r="AQ107" i="7"/>
  <c r="AS104" i="7"/>
  <c r="AY102" i="7"/>
  <c r="Z66" i="7"/>
  <c r="B66" i="2" s="1"/>
  <c r="AD12" i="7"/>
  <c r="F12" i="2" s="1"/>
  <c r="AT109" i="7"/>
  <c r="AX106" i="7"/>
  <c r="AY107" i="7"/>
  <c r="AU104" i="7"/>
  <c r="AA45" i="7"/>
  <c r="D111" i="7" s="1"/>
  <c r="Z63" i="7"/>
  <c r="B63" i="2" s="1"/>
  <c r="AD72" i="7"/>
  <c r="F72" i="2" s="1"/>
  <c r="AA29" i="7"/>
  <c r="C29" i="2" s="1"/>
  <c r="AE36" i="7"/>
  <c r="G36" i="2" s="1"/>
  <c r="Z28" i="7"/>
  <c r="B28" i="2" s="1"/>
  <c r="Z18" i="7"/>
  <c r="B18" i="2" s="1"/>
  <c r="AA11" i="7"/>
  <c r="C11" i="2" s="1"/>
  <c r="AU109" i="7"/>
  <c r="AQ99" i="7"/>
  <c r="AR107" i="7"/>
  <c r="AW104" i="7"/>
  <c r="AE52" i="7"/>
  <c r="G52" i="2" s="1"/>
  <c r="AA65" i="7"/>
  <c r="C65" i="2" s="1"/>
  <c r="AB60" i="7"/>
  <c r="D60" i="2" s="1"/>
  <c r="AD9" i="7"/>
  <c r="F9" i="2" s="1"/>
  <c r="AB47" i="7"/>
  <c r="D47" i="2" s="1"/>
  <c r="AD36" i="7"/>
  <c r="F36" i="2" s="1"/>
  <c r="AA22" i="7"/>
  <c r="Z27" i="7"/>
  <c r="B27" i="2" s="1"/>
  <c r="AC12" i="7"/>
  <c r="E12" i="2" s="1"/>
  <c r="AV109" i="7"/>
  <c r="AS99" i="7"/>
  <c r="AS107" i="7"/>
  <c r="AV108" i="7"/>
  <c r="Z52" i="7"/>
  <c r="B52" i="2" s="1"/>
  <c r="AE63" i="7"/>
  <c r="G63" i="2" s="1"/>
  <c r="AC72" i="7"/>
  <c r="E72" i="2" s="1"/>
  <c r="AR99" i="7"/>
  <c r="AC28" i="7"/>
  <c r="E28" i="2" s="1"/>
  <c r="AA35" i="7"/>
  <c r="C35" i="2" s="1"/>
  <c r="AA30" i="7"/>
  <c r="C30" i="2" s="1"/>
  <c r="AC36" i="7"/>
  <c r="E36" i="2" s="1"/>
  <c r="AA46" i="7"/>
  <c r="AD17" i="7"/>
  <c r="F17" i="2" s="1"/>
  <c r="AE24" i="7"/>
  <c r="G24" i="2" s="1"/>
  <c r="AB35" i="7"/>
  <c r="D35" i="2" s="1"/>
  <c r="AE21" i="7"/>
  <c r="G21" i="2" s="1"/>
  <c r="Z17" i="7"/>
  <c r="B17" i="2" s="1"/>
  <c r="AE10" i="7"/>
  <c r="G10" i="2" s="1"/>
  <c r="AP109" i="7"/>
  <c r="AV99" i="7"/>
  <c r="AT107" i="7"/>
  <c r="AW108" i="7"/>
  <c r="Z65" i="7"/>
  <c r="B65" i="2" s="1"/>
  <c r="AB72" i="7"/>
  <c r="D72" i="2" s="1"/>
  <c r="Z53" i="7"/>
  <c r="B53" i="2" s="1"/>
  <c r="Z34" i="7"/>
  <c r="B34" i="2" s="1"/>
  <c r="AD10" i="7"/>
  <c r="F10" i="2" s="1"/>
  <c r="AQ106" i="7"/>
  <c r="AC54" i="7"/>
  <c r="E54" i="2" s="1"/>
  <c r="AE58" i="7"/>
  <c r="G58" i="2" s="1"/>
  <c r="AE69" i="7"/>
  <c r="G69" i="2" s="1"/>
  <c r="AS106" i="7"/>
  <c r="AU106" i="7"/>
  <c r="AA54" i="7"/>
  <c r="C54" i="2" s="1"/>
  <c r="AD58" i="7"/>
  <c r="F58" i="2" s="1"/>
  <c r="AD69" i="7"/>
  <c r="F69" i="2" s="1"/>
  <c r="AA9" i="7"/>
  <c r="AN67" i="7"/>
  <c r="AV101" i="7"/>
  <c r="Z54" i="7"/>
  <c r="B54" i="2" s="1"/>
  <c r="AA60" i="7"/>
  <c r="C60" i="2" s="1"/>
  <c r="AE70" i="7"/>
  <c r="G70" i="2" s="1"/>
  <c r="AY103" i="7"/>
  <c r="AX101" i="7"/>
  <c r="AW105" i="7"/>
  <c r="AE53" i="7"/>
  <c r="G53" i="2" s="1"/>
  <c r="AB57" i="7"/>
  <c r="D57" i="2" s="1"/>
  <c r="AC69" i="7"/>
  <c r="E69" i="2" s="1"/>
  <c r="Z46" i="7"/>
  <c r="B46" i="2" s="1"/>
  <c r="Z35" i="7"/>
  <c r="B35" i="2" s="1"/>
  <c r="AD30" i="7"/>
  <c r="F30" i="2" s="1"/>
  <c r="AR103" i="7"/>
  <c r="AQ101" i="7"/>
  <c r="AY105" i="7"/>
  <c r="AT102" i="7"/>
  <c r="AD53" i="7"/>
  <c r="F53" i="2" s="1"/>
  <c r="AC58" i="7"/>
  <c r="E58" i="2" s="1"/>
  <c r="AD70" i="7"/>
  <c r="F70" i="2" s="1"/>
  <c r="AA33" i="7"/>
  <c r="AE30" i="7"/>
  <c r="G30" i="2" s="1"/>
  <c r="Z33" i="7"/>
  <c r="B33" i="2" s="1"/>
  <c r="AE11" i="7"/>
  <c r="G11" i="2" s="1"/>
  <c r="AN43" i="7"/>
  <c r="AT103" i="7"/>
  <c r="AS101" i="7"/>
  <c r="AR105" i="7"/>
  <c r="AV102" i="7"/>
  <c r="AC53" i="7"/>
  <c r="E53" i="2" s="1"/>
  <c r="AE65" i="7"/>
  <c r="G65" i="2" s="1"/>
  <c r="AA57" i="7"/>
  <c r="C57" i="2" s="1"/>
  <c r="AB69" i="7"/>
  <c r="D69" i="2" s="1"/>
  <c r="AC24" i="7"/>
  <c r="E24" i="2" s="1"/>
  <c r="AB36" i="7"/>
  <c r="D36" i="2" s="1"/>
  <c r="AD24" i="7"/>
  <c r="F24" i="2" s="1"/>
  <c r="AD47" i="7"/>
  <c r="F47" i="2" s="1"/>
  <c r="AE34" i="7"/>
  <c r="G34" i="2" s="1"/>
  <c r="AB33" i="7"/>
  <c r="D33" i="2" s="1"/>
  <c r="AB30" i="7"/>
  <c r="D30" i="2" s="1"/>
  <c r="Z47" i="7"/>
  <c r="B47" i="2" s="1"/>
  <c r="Z36" i="7"/>
  <c r="B36" i="2" s="1"/>
  <c r="AB10" i="7"/>
  <c r="D10" i="2" s="1"/>
  <c r="AN27" i="7"/>
  <c r="AV103" i="7"/>
  <c r="AU101" i="7"/>
  <c r="AP105" i="7"/>
  <c r="AX102" i="7"/>
  <c r="AA51" i="7"/>
  <c r="C51" i="2" s="1"/>
  <c r="AD65" i="7"/>
  <c r="F65" i="2" s="1"/>
  <c r="AB58" i="7"/>
  <c r="D58" i="2" s="1"/>
  <c r="AC70" i="7"/>
  <c r="E70" i="2" s="1"/>
  <c r="AE28" i="7"/>
  <c r="G28" i="2" s="1"/>
  <c r="Z11" i="7"/>
  <c r="B11" i="2" s="1"/>
  <c r="AC11" i="7"/>
  <c r="E11" i="2" s="1"/>
  <c r="AN11" i="7"/>
  <c r="AX103" i="7"/>
  <c r="AW101" i="7"/>
  <c r="AT105" i="7"/>
  <c r="AS108" i="7"/>
  <c r="AQ102" i="7"/>
  <c r="AD63" i="7"/>
  <c r="F63" i="2" s="1"/>
  <c r="AC65" i="7"/>
  <c r="E65" i="2" s="1"/>
  <c r="AA72" i="7"/>
  <c r="C72" i="2" s="1"/>
  <c r="AA69" i="7"/>
  <c r="C69" i="2" s="1"/>
  <c r="AE35" i="7"/>
  <c r="G35" i="2" s="1"/>
  <c r="Z9" i="7"/>
  <c r="B9" i="2" s="1"/>
  <c r="AE12" i="7"/>
  <c r="G12" i="2" s="1"/>
  <c r="AV105" i="7"/>
  <c r="AU108" i="7"/>
  <c r="AS102" i="7"/>
  <c r="AE64" i="7"/>
  <c r="G64" i="2" s="1"/>
  <c r="Z72" i="7"/>
  <c r="B72" i="2" s="1"/>
  <c r="AB51" i="7"/>
  <c r="D51" i="2" s="1"/>
  <c r="AB53" i="7"/>
  <c r="D53" i="2" s="1"/>
  <c r="AD59" i="7"/>
  <c r="F59" i="2" s="1"/>
  <c r="AE60" i="7"/>
  <c r="G60" i="2" s="1"/>
  <c r="AP106" i="7"/>
  <c r="AQ103" i="7"/>
  <c r="AU107" i="7"/>
  <c r="AC51" i="7"/>
  <c r="E51" i="2" s="1"/>
  <c r="AD52" i="7"/>
  <c r="F52" i="2" s="1"/>
  <c r="AB59" i="7"/>
  <c r="D59" i="2" s="1"/>
  <c r="AA58" i="7"/>
  <c r="C58" i="2" s="1"/>
  <c r="AC10" i="7"/>
  <c r="E10" i="2" s="1"/>
  <c r="AY106" i="7"/>
  <c r="AP103" i="7"/>
  <c r="AV107" i="7"/>
  <c r="AD51" i="7"/>
  <c r="F51" i="2" s="1"/>
  <c r="AB52" i="7"/>
  <c r="D52" i="2" s="1"/>
  <c r="Z57" i="7"/>
  <c r="B57" i="2" s="1"/>
  <c r="AD60" i="7"/>
  <c r="F60" i="2" s="1"/>
  <c r="AR106" i="7"/>
  <c r="AS103" i="7"/>
  <c r="AW107" i="7"/>
  <c r="AC52" i="7"/>
  <c r="E52" i="2" s="1"/>
  <c r="Z51" i="7"/>
  <c r="B51" i="2" s="1"/>
  <c r="AA59" i="7"/>
  <c r="C59" i="2" s="1"/>
  <c r="Z58" i="7"/>
  <c r="B58" i="2" s="1"/>
  <c r="AA10" i="7"/>
  <c r="AW106" i="7"/>
  <c r="AU103" i="7"/>
  <c r="AN75" i="7"/>
  <c r="AE54" i="7"/>
  <c r="G54" i="2" s="1"/>
  <c r="AA53" i="7"/>
  <c r="C53" i="2" s="1"/>
  <c r="AC63" i="7"/>
  <c r="E63" i="2" s="1"/>
  <c r="AE57" i="7"/>
  <c r="G57" i="2" s="1"/>
  <c r="AC60" i="7"/>
  <c r="E60" i="2" s="1"/>
  <c r="AT106" i="7"/>
  <c r="AW103" i="7"/>
  <c r="AA52" i="7"/>
  <c r="C52" i="2" s="1"/>
  <c r="AE51" i="7"/>
  <c r="G51" i="2" s="1"/>
  <c r="Z59" i="7"/>
  <c r="B59" i="2" s="1"/>
  <c r="AE59" i="7"/>
  <c r="G59" i="2" s="1"/>
  <c r="AV106" i="7"/>
  <c r="AD54" i="7"/>
  <c r="F54" i="2" s="1"/>
  <c r="AB63" i="7"/>
  <c r="D63" i="2" s="1"/>
  <c r="Z60" i="7"/>
  <c r="B60" i="2" s="1"/>
  <c r="D116" i="7"/>
  <c r="E172" i="9" s="1"/>
  <c r="F114" i="7"/>
  <c r="D103" i="7"/>
  <c r="C27" i="2"/>
  <c r="C16" i="2"/>
  <c r="C34" i="2"/>
  <c r="F102" i="7" l="1"/>
  <c r="F112" i="7"/>
  <c r="D124" i="7" s="1"/>
  <c r="B124" i="9" s="1"/>
  <c r="F101" i="7"/>
  <c r="D101" i="9" s="1"/>
  <c r="D114" i="7"/>
  <c r="E159" i="9" s="1"/>
  <c r="F115" i="7"/>
  <c r="D115" i="9" s="1"/>
  <c r="D102" i="7"/>
  <c r="E156" i="9" s="1"/>
  <c r="D104" i="7"/>
  <c r="E162" i="9" s="1"/>
  <c r="D105" i="7"/>
  <c r="B105" i="9" s="1"/>
  <c r="D110" i="7"/>
  <c r="F104" i="7"/>
  <c r="D104" i="9" s="1"/>
  <c r="D113" i="7"/>
  <c r="E154" i="9" s="1"/>
  <c r="C39" i="2"/>
  <c r="C22" i="2"/>
  <c r="D112" i="7"/>
  <c r="B112" i="9" s="1"/>
  <c r="C10" i="2"/>
  <c r="F105" i="7"/>
  <c r="E169" i="9" s="1"/>
  <c r="C28" i="2"/>
  <c r="C45" i="2"/>
  <c r="C46" i="2"/>
  <c r="C33" i="2"/>
  <c r="D108" i="7"/>
  <c r="E174" i="9" s="1"/>
  <c r="C9" i="2"/>
  <c r="D106" i="7"/>
  <c r="B106" i="9" s="1"/>
  <c r="D115" i="7"/>
  <c r="B115" i="9" s="1"/>
  <c r="F111" i="7"/>
  <c r="F124" i="7" s="1"/>
  <c r="D124" i="9" s="1"/>
  <c r="B116" i="9"/>
  <c r="B104" i="9"/>
  <c r="E155" i="9"/>
  <c r="D120" i="7"/>
  <c r="F122" i="7"/>
  <c r="F120" i="7"/>
  <c r="D132" i="7"/>
  <c r="E163" i="9"/>
  <c r="D122" i="7"/>
  <c r="E165" i="9"/>
  <c r="F126" i="7"/>
  <c r="D126" i="7"/>
  <c r="D112" i="9"/>
  <c r="E175" i="9"/>
  <c r="B111" i="9"/>
  <c r="E166" i="9"/>
  <c r="E160" i="9"/>
  <c r="E164" i="9"/>
  <c r="D114" i="9"/>
  <c r="B109" i="9"/>
  <c r="B103" i="9"/>
  <c r="D102" i="9"/>
  <c r="E161" i="9" l="1"/>
  <c r="E197" i="9"/>
  <c r="E173" i="9"/>
  <c r="B102" i="9"/>
  <c r="E167" i="9"/>
  <c r="B114" i="9"/>
  <c r="D105" i="9"/>
  <c r="E157" i="9"/>
  <c r="B113" i="9"/>
  <c r="B108" i="9"/>
  <c r="E158" i="9"/>
  <c r="B110" i="9"/>
  <c r="E168" i="9"/>
  <c r="D111" i="9"/>
  <c r="E170" i="9"/>
  <c r="E171" i="9"/>
  <c r="E196" i="9"/>
  <c r="B126" i="9"/>
  <c r="E200" i="9"/>
  <c r="D134" i="7"/>
  <c r="E199" i="9"/>
  <c r="D126" i="9"/>
  <c r="E208" i="9"/>
  <c r="B132" i="9"/>
  <c r="F131" i="7"/>
  <c r="E189" i="9"/>
  <c r="D120" i="9"/>
  <c r="D122" i="9"/>
  <c r="E190" i="9"/>
  <c r="D133" i="7"/>
  <c r="B122" i="9"/>
  <c r="E187" i="9"/>
  <c r="B120" i="9"/>
  <c r="E186" i="9"/>
  <c r="E206" i="9" l="1"/>
  <c r="B133" i="9"/>
  <c r="E204" i="9"/>
  <c r="D138" i="7"/>
  <c r="D131" i="9"/>
  <c r="E210" i="9"/>
  <c r="B134" i="9"/>
  <c r="D123" i="7" l="1"/>
  <c r="F125" i="7"/>
  <c r="E214" i="9"/>
  <c r="B138" i="9"/>
  <c r="D143" i="7"/>
  <c r="B143" i="9" s="1"/>
  <c r="F134" i="7"/>
  <c r="F123" i="7"/>
  <c r="F121" i="7"/>
  <c r="D123" i="9" l="1"/>
  <c r="E193" i="9"/>
  <c r="F133" i="7"/>
  <c r="E211" i="9"/>
  <c r="D134" i="9"/>
  <c r="F139" i="7"/>
  <c r="F132" i="7"/>
  <c r="D125" i="9"/>
  <c r="E194" i="9"/>
  <c r="D121" i="9"/>
  <c r="D131" i="7"/>
  <c r="E191" i="9"/>
  <c r="B123" i="9"/>
  <c r="E192" i="9"/>
  <c r="E205" i="9" l="1"/>
  <c r="B131" i="9"/>
  <c r="E209" i="9"/>
  <c r="D132" i="9"/>
  <c r="F138" i="7"/>
  <c r="E217" i="9"/>
  <c r="D139" i="9"/>
  <c r="F147" i="7"/>
  <c r="E207" i="9"/>
  <c r="D139" i="7"/>
  <c r="D133" i="9"/>
  <c r="E216" i="9" l="1"/>
  <c r="F143" i="7"/>
  <c r="B139" i="9"/>
  <c r="F149" i="7"/>
  <c r="E226" i="9" s="1"/>
  <c r="E223" i="9"/>
  <c r="D147" i="9"/>
  <c r="E215" i="9"/>
  <c r="D147" i="7"/>
  <c r="D138" i="9"/>
  <c r="E222" i="9" l="1"/>
  <c r="B147" i="9"/>
  <c r="D143" i="9"/>
  <c r="D144" i="7"/>
  <c r="E220" i="9" s="1"/>
  <c r="D121" i="7"/>
  <c r="E188" i="9" s="1"/>
  <c r="D127" i="7"/>
  <c r="B127" i="9" s="1"/>
  <c r="F127" i="7"/>
  <c r="E201" i="9" s="1"/>
  <c r="D125" i="7"/>
  <c r="E195" i="9" s="1"/>
  <c r="E198" i="9" l="1"/>
  <c r="D127" i="9"/>
  <c r="B125" i="9"/>
  <c r="B121" i="9"/>
  <c r="AO5" i="7"/>
  <c r="AN5" i="7" s="1"/>
  <c r="AO6" i="7"/>
  <c r="AN6" i="7" s="1"/>
  <c r="AO4" i="7"/>
  <c r="AN4" i="7" s="1"/>
  <c r="AO3" i="7"/>
  <c r="AZ98" i="7" l="1"/>
  <c r="AQ98" i="7"/>
  <c r="AT98" i="7"/>
  <c r="Z6" i="7"/>
  <c r="B6" i="2" s="1"/>
  <c r="AN3" i="7"/>
  <c r="AD3" i="7"/>
  <c r="F3" i="2" s="1"/>
  <c r="AP98" i="7"/>
  <c r="AC5" i="7"/>
  <c r="E5" i="2" s="1"/>
  <c r="AA4" i="7"/>
  <c r="AA6" i="7"/>
  <c r="C6" i="2" s="1"/>
  <c r="AB5" i="7"/>
  <c r="D5" i="2" s="1"/>
  <c r="AC3" i="7"/>
  <c r="E3" i="2" s="1"/>
  <c r="AW98" i="7"/>
  <c r="AA5" i="7"/>
  <c r="C5" i="2" s="1"/>
  <c r="AS98" i="7"/>
  <c r="AE5" i="7"/>
  <c r="G5" i="2" s="1"/>
  <c r="AE4" i="7"/>
  <c r="G4" i="2" s="1"/>
  <c r="AD6" i="7"/>
  <c r="F6" i="2" s="1"/>
  <c r="AU98" i="7"/>
  <c r="AB4" i="7"/>
  <c r="D4" i="2" s="1"/>
  <c r="AY98" i="7"/>
  <c r="AX98" i="7"/>
  <c r="AD4" i="7"/>
  <c r="F4" i="2" s="1"/>
  <c r="Z3" i="7"/>
  <c r="B3" i="2" s="1"/>
  <c r="AA3" i="7"/>
  <c r="AV98" i="7"/>
  <c r="Z4" i="7"/>
  <c r="B4" i="2" s="1"/>
  <c r="AC6" i="7"/>
  <c r="E6" i="2" s="1"/>
  <c r="AD5" i="7"/>
  <c r="F5" i="2" s="1"/>
  <c r="AB3" i="7"/>
  <c r="D3" i="2" s="1"/>
  <c r="AB6" i="7"/>
  <c r="D6" i="2" s="1"/>
  <c r="AE6" i="7"/>
  <c r="G6" i="2" s="1"/>
  <c r="Z5" i="7"/>
  <c r="B5" i="2" s="1"/>
  <c r="AE3" i="7"/>
  <c r="G3" i="2" s="1"/>
  <c r="AC4" i="7"/>
  <c r="E4" i="2" s="1"/>
  <c r="AR98" i="7"/>
  <c r="BA107" i="7" l="1"/>
  <c r="BA98" i="7"/>
  <c r="BA103" i="7"/>
  <c r="BA100" i="7"/>
  <c r="BA104" i="7"/>
  <c r="BA101" i="7"/>
  <c r="BA109" i="7"/>
  <c r="BA108" i="7"/>
  <c r="BA102" i="7"/>
  <c r="BA106" i="7"/>
  <c r="BA105" i="7"/>
  <c r="BA99" i="7"/>
  <c r="D107" i="7"/>
  <c r="C3" i="2"/>
  <c r="C4" i="2"/>
  <c r="D101" i="7"/>
  <c r="AO212" i="7" l="1"/>
  <c r="AO215" i="7"/>
  <c r="AO129" i="7"/>
  <c r="AO205" i="7"/>
  <c r="AO256" i="7"/>
  <c r="AO177" i="7"/>
  <c r="AO210" i="7"/>
  <c r="AO114" i="7"/>
  <c r="AO174" i="7"/>
  <c r="AO121" i="7"/>
  <c r="AO204" i="7"/>
  <c r="AO122" i="7"/>
  <c r="AO125" i="7"/>
  <c r="AO180" i="7"/>
  <c r="AO244" i="7"/>
  <c r="AO247" i="7"/>
  <c r="AO139" i="7"/>
  <c r="AO221" i="7"/>
  <c r="AO130" i="7"/>
  <c r="AO178" i="7"/>
  <c r="AO248" i="7"/>
  <c r="AO188" i="7"/>
  <c r="AO249" i="7"/>
  <c r="AO214" i="7"/>
  <c r="AO257" i="7"/>
  <c r="AO120" i="7"/>
  <c r="AO187" i="7"/>
  <c r="AO253" i="7"/>
  <c r="AO162" i="7"/>
  <c r="AO181" i="7"/>
  <c r="AO185" i="7"/>
  <c r="AO166" i="7"/>
  <c r="AO193" i="7"/>
  <c r="AO192" i="7"/>
  <c r="AO189" i="7"/>
  <c r="AO117" i="7"/>
  <c r="AO184" i="7"/>
  <c r="AO203" i="7"/>
  <c r="AO142" i="7"/>
  <c r="AO140" i="7"/>
  <c r="AO217" i="7"/>
  <c r="AO207" i="7"/>
  <c r="AO246" i="7"/>
  <c r="AO250" i="7"/>
  <c r="AO165" i="7"/>
  <c r="AO216" i="7"/>
  <c r="AO251" i="7"/>
  <c r="AO126" i="7"/>
  <c r="AO118" i="7"/>
  <c r="AO175" i="7"/>
  <c r="AO128" i="7"/>
  <c r="AO119" i="7"/>
  <c r="AO206" i="7"/>
  <c r="AO143" i="7"/>
  <c r="AO211" i="7"/>
  <c r="AO213" i="7"/>
  <c r="AO161" i="7"/>
  <c r="AO124" i="7"/>
  <c r="AO245" i="7"/>
  <c r="AO127" i="7"/>
  <c r="AO138" i="7"/>
  <c r="AO202" i="7"/>
  <c r="AO164" i="7"/>
  <c r="AO209" i="7"/>
  <c r="AO186" i="7"/>
  <c r="AO183" i="7"/>
  <c r="AO252" i="7"/>
  <c r="AO176" i="7"/>
  <c r="AO163" i="7"/>
  <c r="AO220" i="7"/>
  <c r="AO179" i="7"/>
  <c r="AO182" i="7"/>
  <c r="AO141" i="7"/>
  <c r="AO160" i="7"/>
  <c r="AO116" i="7"/>
  <c r="AO208" i="7"/>
  <c r="AO167" i="7"/>
  <c r="AO190" i="7"/>
  <c r="AO227" i="7"/>
  <c r="AO255" i="7"/>
  <c r="AO243" i="7"/>
  <c r="AO195" i="7"/>
  <c r="AO191" i="7"/>
  <c r="AO228" i="7"/>
  <c r="AO159" i="7"/>
  <c r="AO131" i="7"/>
  <c r="AO196" i="7"/>
  <c r="AO171" i="7"/>
  <c r="AO200" i="7"/>
  <c r="AO254" i="7"/>
  <c r="AO172" i="7"/>
  <c r="AO277" i="7"/>
  <c r="AO219" i="7"/>
  <c r="AO223" i="7"/>
  <c r="AO198" i="7"/>
  <c r="AO218" i="7"/>
  <c r="AO115" i="7"/>
  <c r="AO201" i="7"/>
  <c r="AO240" i="7"/>
  <c r="AO173" i="7"/>
  <c r="AO194" i="7"/>
  <c r="AO225" i="7"/>
  <c r="AO123" i="7"/>
  <c r="AO168" i="7"/>
  <c r="AO170" i="7"/>
  <c r="AO226" i="7"/>
  <c r="AO199" i="7"/>
  <c r="AO222" i="7"/>
  <c r="AO258" i="7"/>
  <c r="AO197" i="7"/>
  <c r="AO169" i="7"/>
  <c r="AO224" i="7"/>
  <c r="AO155" i="7"/>
  <c r="AO151" i="7"/>
  <c r="AO236" i="7"/>
  <c r="AO158" i="7"/>
  <c r="AO259" i="7"/>
  <c r="AO231" i="7"/>
  <c r="AO268" i="7"/>
  <c r="AO157" i="7"/>
  <c r="AO275" i="7"/>
  <c r="AO263" i="7"/>
  <c r="AO237" i="7"/>
  <c r="AO156" i="7"/>
  <c r="AO273" i="7"/>
  <c r="AO241" i="7"/>
  <c r="AO269" i="7"/>
  <c r="AO270" i="7"/>
  <c r="AO132" i="7"/>
  <c r="AO136" i="7"/>
  <c r="AO238" i="7"/>
  <c r="AO152" i="7"/>
  <c r="AO260" i="7"/>
  <c r="AO276" i="7"/>
  <c r="AO232" i="7"/>
  <c r="AO239" i="7"/>
  <c r="AO133" i="7"/>
  <c r="AO264" i="7"/>
  <c r="AO271" i="7"/>
  <c r="AO229" i="7"/>
  <c r="AO137" i="7"/>
  <c r="AO144" i="7"/>
  <c r="AO146" i="7"/>
  <c r="AO261" i="7"/>
  <c r="AO233" i="7"/>
  <c r="AO272" i="7"/>
  <c r="AO148" i="7"/>
  <c r="AO134" i="7"/>
  <c r="AO265" i="7"/>
  <c r="AO242" i="7"/>
  <c r="AO267" i="7"/>
  <c r="AO147" i="7"/>
  <c r="AO150" i="7"/>
  <c r="AO145" i="7"/>
  <c r="AO274" i="7"/>
  <c r="AO149" i="7"/>
  <c r="AO230" i="7"/>
  <c r="AO234" i="7"/>
  <c r="AO262" i="7"/>
  <c r="AO266" i="7"/>
  <c r="AO154" i="7"/>
  <c r="AO153" i="7"/>
  <c r="AO278" i="7"/>
  <c r="AO235" i="7"/>
  <c r="AO135" i="7"/>
  <c r="AO104" i="7"/>
  <c r="AO98" i="7"/>
  <c r="AO102" i="7"/>
  <c r="AO108" i="7"/>
  <c r="AO99" i="7"/>
  <c r="AO109" i="7"/>
  <c r="AO107" i="7"/>
  <c r="AO106" i="7"/>
  <c r="AO103" i="7"/>
  <c r="AO105" i="7"/>
  <c r="AO101" i="7"/>
  <c r="AO100" i="7"/>
  <c r="B107" i="9"/>
  <c r="E152" i="9"/>
  <c r="AO362" i="7"/>
  <c r="AO520" i="7"/>
  <c r="AO568" i="7"/>
  <c r="AO429" i="7"/>
  <c r="AO534" i="7"/>
  <c r="AO321" i="7"/>
  <c r="AO590" i="7"/>
  <c r="AO310" i="7"/>
  <c r="AO388" i="7"/>
  <c r="AO363" i="7"/>
  <c r="AO560" i="7"/>
  <c r="AO558" i="7"/>
  <c r="AO374" i="7"/>
  <c r="AO403" i="7"/>
  <c r="AO478" i="7"/>
  <c r="AO394" i="7"/>
  <c r="AO497" i="7"/>
  <c r="AO583" i="7"/>
  <c r="AO345" i="7"/>
  <c r="AO598" i="7"/>
  <c r="AO279" i="7"/>
  <c r="AO573" i="7"/>
  <c r="AO597" i="7"/>
  <c r="AO420" i="7"/>
  <c r="AO600" i="7"/>
  <c r="AO438" i="7"/>
  <c r="AO351" i="7"/>
  <c r="AO293" i="7"/>
  <c r="AO481" i="7"/>
  <c r="AO487" i="7"/>
  <c r="AO412" i="7"/>
  <c r="AO538" i="7"/>
  <c r="AO564" i="7"/>
  <c r="AO375" i="7"/>
  <c r="AO567" i="7"/>
  <c r="AO333" i="7"/>
  <c r="AO424" i="7"/>
  <c r="AO454" i="7"/>
  <c r="AO553" i="7"/>
  <c r="AO440" i="7"/>
  <c r="AO493" i="7"/>
  <c r="AO301" i="7"/>
  <c r="AO442" i="7"/>
  <c r="AO311" i="7"/>
  <c r="AO605" i="7"/>
  <c r="AO505" i="7"/>
  <c r="AO510" i="7"/>
  <c r="AO430" i="7"/>
  <c r="AO531" i="7"/>
  <c r="AO316" i="7"/>
  <c r="AO530" i="7"/>
  <c r="AO380" i="7"/>
  <c r="AO381" i="7"/>
  <c r="AO347" i="7"/>
  <c r="AO518" i="7"/>
  <c r="AO391" i="7"/>
  <c r="AO418" i="7"/>
  <c r="AO330" i="7"/>
  <c r="AO331" i="7"/>
  <c r="AO303" i="7"/>
  <c r="AO516" i="7"/>
  <c r="AO406" i="7"/>
  <c r="AO514" i="7"/>
  <c r="AO323" i="7"/>
  <c r="AO346" i="7"/>
  <c r="AO306" i="7"/>
  <c r="AO485" i="7"/>
  <c r="AO329" i="7"/>
  <c r="AO371" i="7"/>
  <c r="AO334" i="7"/>
  <c r="AO385" i="7"/>
  <c r="AO399" i="7"/>
  <c r="AO312" i="7"/>
  <c r="AO604" i="7"/>
  <c r="AO591" i="7"/>
  <c r="AO326" i="7"/>
  <c r="AO523" i="7"/>
  <c r="AO342" i="7"/>
  <c r="AO522" i="7"/>
  <c r="AO533" i="7"/>
  <c r="AO545" i="7"/>
  <c r="AO576" i="7"/>
  <c r="AO451" i="7"/>
  <c r="AO501" i="7"/>
  <c r="AO407" i="7"/>
  <c r="AO593" i="7"/>
  <c r="AO504" i="7"/>
  <c r="AO551" i="7"/>
  <c r="AO572" i="7"/>
  <c r="AO290" i="7"/>
  <c r="AO405" i="7"/>
  <c r="AO377" i="7"/>
  <c r="AO425" i="7"/>
  <c r="AO286" i="7"/>
  <c r="AO496" i="7"/>
  <c r="AO299" i="7"/>
  <c r="AO495" i="7"/>
  <c r="AO364" i="7"/>
  <c r="AO575" i="7"/>
  <c r="AO482" i="7"/>
  <c r="AO445" i="7"/>
  <c r="AO387" i="7"/>
  <c r="AO477" i="7"/>
  <c r="AO350" i="7"/>
  <c r="AO292" i="7"/>
  <c r="AO411" i="7"/>
  <c r="AO571" i="7"/>
  <c r="AO291" i="7"/>
  <c r="AO431" i="7"/>
  <c r="AO446" i="7"/>
  <c r="AO525" i="7"/>
  <c r="AO366" i="7"/>
  <c r="AO467" i="7"/>
  <c r="AO361" i="7"/>
  <c r="AO343" i="7"/>
  <c r="AO557" i="7"/>
  <c r="AO588" i="7"/>
  <c r="AO450" i="7"/>
  <c r="AO448" i="7"/>
  <c r="AO416" i="7"/>
  <c r="AO397" i="7"/>
  <c r="AO328" i="7"/>
  <c r="AO294" i="7"/>
  <c r="AO535" i="7"/>
  <c r="AO526" i="7"/>
  <c r="AO589" i="7"/>
  <c r="AO439" i="7"/>
  <c r="AO423" i="7"/>
  <c r="AO537" i="7"/>
  <c r="AO559" i="7"/>
  <c r="AO365" i="7"/>
  <c r="AO401" i="7"/>
  <c r="AO337" i="7"/>
  <c r="AO304" i="7"/>
  <c r="AO419" i="7"/>
  <c r="AO318" i="7"/>
  <c r="AO599" i="7"/>
  <c r="AO513" i="7"/>
  <c r="AO319" i="7"/>
  <c r="AO584" i="7"/>
  <c r="AO297" i="7"/>
  <c r="AO383" i="7"/>
  <c r="AO486" i="7"/>
  <c r="AO494" i="7"/>
  <c r="AO369" i="7"/>
  <c r="AO358" i="7"/>
  <c r="AO449" i="7"/>
  <c r="AO295" i="7"/>
  <c r="AO492" i="7"/>
  <c r="AO452" i="7"/>
  <c r="AO281" i="7"/>
  <c r="AO335" i="7"/>
  <c r="AO543" i="7"/>
  <c r="AO444" i="7"/>
  <c r="AO579" i="7"/>
  <c r="AO372" i="7"/>
  <c r="AO503" i="7"/>
  <c r="AO550" i="7"/>
  <c r="AO473" i="7"/>
  <c r="AO464" i="7"/>
  <c r="AO296" i="7"/>
  <c r="AO320" i="7"/>
  <c r="AO349" i="7"/>
  <c r="AO517" i="7"/>
  <c r="AO360" i="7"/>
  <c r="AO602" i="7"/>
  <c r="AO539" i="7"/>
  <c r="AO314" i="7"/>
  <c r="AO437" i="7"/>
  <c r="AO341" i="7"/>
  <c r="AO562" i="7"/>
  <c r="AO500" i="7"/>
  <c r="AO396" i="7"/>
  <c r="AO421" i="7"/>
  <c r="AO352" i="7"/>
  <c r="AO541" i="7"/>
  <c r="AO305" i="7"/>
  <c r="AO447" i="7"/>
  <c r="AO578" i="7"/>
  <c r="AO536" i="7"/>
  <c r="AO521" i="7"/>
  <c r="AO490" i="7"/>
  <c r="AO546" i="7"/>
  <c r="AO544" i="7"/>
  <c r="AO586" i="7"/>
  <c r="AO582" i="7"/>
  <c r="AO441" i="7"/>
  <c r="AO524" i="7"/>
  <c r="AO466" i="7"/>
  <c r="AO607" i="7"/>
  <c r="AO353" i="7"/>
  <c r="AO457" i="7"/>
  <c r="AO379" i="7"/>
  <c r="AO508" i="7"/>
  <c r="AO515" i="7"/>
  <c r="AO417" i="7"/>
  <c r="AO373" i="7"/>
  <c r="AO370" i="7"/>
  <c r="AO519" i="7"/>
  <c r="AO376" i="7"/>
  <c r="AO298" i="7"/>
  <c r="AO413" i="7"/>
  <c r="AO474" i="7"/>
  <c r="AO574" i="7"/>
  <c r="AO465" i="7"/>
  <c r="AO528" i="7"/>
  <c r="AO317" i="7"/>
  <c r="AO456" i="7"/>
  <c r="AO389" i="7"/>
  <c r="AO511" i="7"/>
  <c r="AO606" i="7"/>
  <c r="AO443" i="7"/>
  <c r="AO489" i="7"/>
  <c r="AO549" i="7"/>
  <c r="AO404" i="7"/>
  <c r="AO542" i="7"/>
  <c r="AO336" i="7"/>
  <c r="AO344" i="7"/>
  <c r="AO569" i="7"/>
  <c r="AO356" i="7"/>
  <c r="AO332" i="7"/>
  <c r="AO436" i="7"/>
  <c r="AO570" i="7"/>
  <c r="AO414" i="7"/>
  <c r="AO378" i="7"/>
  <c r="AO483" i="7"/>
  <c r="AO491" i="7"/>
  <c r="AO433" i="7"/>
  <c r="AO315" i="7"/>
  <c r="AO563" i="7"/>
  <c r="AO402" i="7"/>
  <c r="AO398" i="7"/>
  <c r="AO285" i="7"/>
  <c r="AO382" i="7"/>
  <c r="AO462" i="7"/>
  <c r="AO608" i="7"/>
  <c r="AO280" i="7"/>
  <c r="AO300" i="7"/>
  <c r="AO470" i="7"/>
  <c r="AO472" i="7"/>
  <c r="AO594" i="7"/>
  <c r="AO428" i="7"/>
  <c r="AO556" i="7"/>
  <c r="AO287" i="7"/>
  <c r="AO327" i="7"/>
  <c r="AO339" i="7"/>
  <c r="AO547" i="7"/>
  <c r="AO395" i="7"/>
  <c r="AO587" i="7"/>
  <c r="AO529" i="7"/>
  <c r="AO498" i="7"/>
  <c r="AO502" i="7"/>
  <c r="AO384" i="7"/>
  <c r="AO585" i="7"/>
  <c r="AO302" i="7"/>
  <c r="AO565" i="7"/>
  <c r="AO499" i="7"/>
  <c r="AO408" i="7"/>
  <c r="AO488" i="7"/>
  <c r="AO479" i="7"/>
  <c r="AO552" i="7"/>
  <c r="AO475" i="7"/>
  <c r="AO367" i="7"/>
  <c r="AO506" i="7"/>
  <c r="AO426" i="7"/>
  <c r="AO289" i="7"/>
  <c r="AO422" i="7"/>
  <c r="AO453" i="7"/>
  <c r="AO548" i="7"/>
  <c r="AO566" i="7"/>
  <c r="AO595" i="7"/>
  <c r="AO468" i="7"/>
  <c r="AO427" i="7"/>
  <c r="AO484" i="7"/>
  <c r="AO469" i="7"/>
  <c r="AO392" i="7"/>
  <c r="AO415" i="7"/>
  <c r="AO596" i="7"/>
  <c r="AO601" i="7"/>
  <c r="AO357" i="7"/>
  <c r="AO458" i="7"/>
  <c r="AO512" i="7"/>
  <c r="AO471" i="7"/>
  <c r="AO540" i="7"/>
  <c r="AO532" i="7"/>
  <c r="AO307" i="7"/>
  <c r="AO527" i="7"/>
  <c r="AO359" i="7"/>
  <c r="AO432" i="7"/>
  <c r="AO592" i="7"/>
  <c r="AO410" i="7"/>
  <c r="AO282" i="7"/>
  <c r="AO368" i="7"/>
  <c r="AO324" i="7"/>
  <c r="AO386" i="7"/>
  <c r="AO561" i="7"/>
  <c r="AO313" i="7"/>
  <c r="AO480" i="7"/>
  <c r="AO348" i="7"/>
  <c r="AO463" i="7"/>
  <c r="AO340" i="7"/>
  <c r="AO461" i="7"/>
  <c r="AO393" i="7"/>
  <c r="AO283" i="7"/>
  <c r="AO603" i="7"/>
  <c r="AO338" i="7"/>
  <c r="AO390" i="7"/>
  <c r="AO309" i="7"/>
  <c r="AO288" i="7"/>
  <c r="AO434" i="7"/>
  <c r="AO581" i="7"/>
  <c r="AO322" i="7"/>
  <c r="AO355" i="7"/>
  <c r="AO325" i="7"/>
  <c r="AO476" i="7"/>
  <c r="AO409" i="7"/>
  <c r="AO507" i="7"/>
  <c r="AO577" i="7"/>
  <c r="AO460" i="7"/>
  <c r="AO284" i="7"/>
  <c r="AO459" i="7"/>
  <c r="AO354" i="7"/>
  <c r="AO455" i="7"/>
  <c r="AO554" i="7"/>
  <c r="AO308" i="7"/>
  <c r="AO435" i="7"/>
  <c r="AO509" i="7"/>
  <c r="AO580" i="7"/>
  <c r="AO555" i="7"/>
  <c r="AO400" i="7"/>
  <c r="B101" i="9"/>
  <c r="E153" i="9"/>
  <c r="BC125" i="7" l="1"/>
  <c r="BC122" i="7"/>
  <c r="BC120" i="7"/>
  <c r="BC124" i="7"/>
  <c r="BC123" i="7"/>
  <c r="BC121" i="7"/>
  <c r="BC115" i="7"/>
  <c r="BC119" i="7"/>
  <c r="BC118" i="7"/>
  <c r="BD123" i="7"/>
  <c r="F107" i="7"/>
  <c r="BD118" i="7"/>
  <c r="BD125" i="7"/>
  <c r="BD120" i="7"/>
  <c r="F103" i="7"/>
  <c r="F109" i="7"/>
  <c r="BD121" i="7"/>
  <c r="BD119" i="7"/>
  <c r="BD124" i="7"/>
  <c r="F106" i="7"/>
  <c r="F108" i="7"/>
  <c r="F116" i="7"/>
  <c r="F110" i="7"/>
  <c r="F113" i="7"/>
  <c r="BD122" i="7"/>
  <c r="E181" i="9" l="1"/>
  <c r="D110" i="9"/>
  <c r="E176" i="9"/>
  <c r="D103" i="9"/>
  <c r="E177" i="9"/>
  <c r="D106" i="9"/>
  <c r="D116" i="9"/>
  <c r="E183" i="9"/>
  <c r="D113" i="9"/>
  <c r="E182" i="9"/>
  <c r="E180" i="9"/>
  <c r="D109" i="9"/>
  <c r="E179" i="9"/>
  <c r="D108" i="9"/>
  <c r="D107" i="9"/>
  <c r="E178" i="9"/>
</calcChain>
</file>

<file path=xl/sharedStrings.xml><?xml version="1.0" encoding="utf-8"?>
<sst xmlns="http://schemas.openxmlformats.org/spreadsheetml/2006/main" count="5451" uniqueCount="762">
  <si>
    <t xml:space="preserve"> </t>
  </si>
  <si>
    <t>Groep A</t>
  </si>
  <si>
    <t>Wedstrijd</t>
  </si>
  <si>
    <t>Uitslag</t>
  </si>
  <si>
    <t>Toto</t>
  </si>
  <si>
    <t>-</t>
  </si>
  <si>
    <t>Groep B</t>
  </si>
  <si>
    <t>Groep C</t>
  </si>
  <si>
    <t>Groep D</t>
  </si>
  <si>
    <t>Groep E</t>
  </si>
  <si>
    <t>Groep F</t>
  </si>
  <si>
    <t>Groep G</t>
  </si>
  <si>
    <t>Groep H</t>
  </si>
  <si>
    <t>Achtste finales</t>
  </si>
  <si>
    <t>Kwartfinales</t>
  </si>
  <si>
    <t>Halve finales</t>
  </si>
  <si>
    <t>3e plaats</t>
  </si>
  <si>
    <t>Finale</t>
  </si>
  <si>
    <t>Wereldkampioen</t>
  </si>
  <si>
    <t>wedstrijden</t>
  </si>
  <si>
    <t>punten</t>
  </si>
  <si>
    <t>voor</t>
  </si>
  <si>
    <t>tegen</t>
  </si>
  <si>
    <t>doelsaldo</t>
  </si>
  <si>
    <t>Juiste aantal doelpunten thuis spelend team (juiste toto)</t>
  </si>
  <si>
    <t>Juiste aantal doelpunten thuis spelend team (onjuiste toto)</t>
  </si>
  <si>
    <t>Juiste aantal doelpunten uit spelend team (juiste toto)</t>
  </si>
  <si>
    <t>Juiste aantal doelpunten uit spelend team (onjuiste toto)</t>
  </si>
  <si>
    <t>Juiste "toto"-uitslag</t>
  </si>
  <si>
    <t>Juiste team in kwartfinale, op welke plaats dan ook</t>
  </si>
  <si>
    <t>Juiste team in halve finale, op welke plaats dan ook</t>
  </si>
  <si>
    <t>Winnaar troostfinale</t>
  </si>
  <si>
    <t>Juiste team in finale, op welke plaats dan ook</t>
  </si>
  <si>
    <t>Duitsland</t>
  </si>
  <si>
    <t>Engeland</t>
  </si>
  <si>
    <t>Argentinië</t>
  </si>
  <si>
    <t>Mexico</t>
  </si>
  <si>
    <t>Portugal</t>
  </si>
  <si>
    <t>Brazilië</t>
  </si>
  <si>
    <t>Australië</t>
  </si>
  <si>
    <t>Japan</t>
  </si>
  <si>
    <t>Frankrijk</t>
  </si>
  <si>
    <t>Zwitserland</t>
  </si>
  <si>
    <t>Zuid-Korea</t>
  </si>
  <si>
    <t>Spanje</t>
  </si>
  <si>
    <t>Deze gegevens moeten in ieder geval compleet zijn:</t>
  </si>
  <si>
    <t>Persoonlijke gegevens</t>
  </si>
  <si>
    <t>Adres:</t>
  </si>
  <si>
    <t>Woonplaats:</t>
  </si>
  <si>
    <t>Telefoonnummer:</t>
  </si>
  <si>
    <t>Teamnaam:</t>
  </si>
  <si>
    <t>Inleg per team</t>
  </si>
  <si>
    <t>2e prijs</t>
  </si>
  <si>
    <t>3e prijs</t>
  </si>
  <si>
    <t>Troostprijs</t>
  </si>
  <si>
    <t>13e prijs</t>
  </si>
  <si>
    <t>23e prijs</t>
  </si>
  <si>
    <t xml:space="preserve">team thuis </t>
  </si>
  <si>
    <t>toto</t>
  </si>
  <si>
    <t>team uit</t>
  </si>
  <si>
    <t>rekentabel</t>
  </si>
  <si>
    <t>Gespeeld</t>
  </si>
  <si>
    <t>Winst</t>
  </si>
  <si>
    <t>Gelijk</t>
  </si>
  <si>
    <t>Verlies</t>
  </si>
  <si>
    <t>Goals voor</t>
  </si>
  <si>
    <t>Goals tegen</t>
  </si>
  <si>
    <t>Verschil</t>
  </si>
  <si>
    <t>Punten</t>
  </si>
  <si>
    <t>A</t>
  </si>
  <si>
    <t>B</t>
  </si>
  <si>
    <t>C</t>
  </si>
  <si>
    <t>D</t>
  </si>
  <si>
    <t>E</t>
  </si>
  <si>
    <t>F</t>
  </si>
  <si>
    <t>G</t>
  </si>
  <si>
    <t>H</t>
  </si>
  <si>
    <t>positiebepaling</t>
  </si>
  <si>
    <t>AF1</t>
  </si>
  <si>
    <t>AF2</t>
  </si>
  <si>
    <t>AF3</t>
  </si>
  <si>
    <t>AF4</t>
  </si>
  <si>
    <t>AF5</t>
  </si>
  <si>
    <t>AF6</t>
  </si>
  <si>
    <t>AF7</t>
  </si>
  <si>
    <t>AF8</t>
  </si>
  <si>
    <t>KF1</t>
  </si>
  <si>
    <t>KF2</t>
  </si>
  <si>
    <t>KF3</t>
  </si>
  <si>
    <t>KF4</t>
  </si>
  <si>
    <t>HF1</t>
  </si>
  <si>
    <t>HF2</t>
  </si>
  <si>
    <t>Stand groepen</t>
  </si>
  <si>
    <t>Uruguay</t>
  </si>
  <si>
    <t>Bij gelijke stand worden prijzen gedeeld</t>
  </si>
  <si>
    <t>a1</t>
  </si>
  <si>
    <t>a2</t>
  </si>
  <si>
    <t>b1</t>
  </si>
  <si>
    <t>b2</t>
  </si>
  <si>
    <t>c1</t>
  </si>
  <si>
    <t>c2</t>
  </si>
  <si>
    <t>d1</t>
  </si>
  <si>
    <t>d2</t>
  </si>
  <si>
    <t>e1</t>
  </si>
  <si>
    <t>e2</t>
  </si>
  <si>
    <t>f1</t>
  </si>
  <si>
    <t>f2</t>
  </si>
  <si>
    <t>g1</t>
  </si>
  <si>
    <t>g2</t>
  </si>
  <si>
    <t>h1</t>
  </si>
  <si>
    <t>h2</t>
  </si>
  <si>
    <t>Kroatië</t>
  </si>
  <si>
    <t>Iran</t>
  </si>
  <si>
    <t>België</t>
  </si>
  <si>
    <t>Naam:</t>
  </si>
  <si>
    <t>Brazil</t>
  </si>
  <si>
    <t>Croatia</t>
  </si>
  <si>
    <t>Spain</t>
  </si>
  <si>
    <t>Australia</t>
  </si>
  <si>
    <t>England</t>
  </si>
  <si>
    <t>France</t>
  </si>
  <si>
    <t>Argentina</t>
  </si>
  <si>
    <t>Belgium</t>
  </si>
  <si>
    <t>Group A</t>
  </si>
  <si>
    <t>Group B</t>
  </si>
  <si>
    <t>Group C</t>
  </si>
  <si>
    <t>Group D</t>
  </si>
  <si>
    <t>Group E</t>
  </si>
  <si>
    <t>Group F</t>
  </si>
  <si>
    <t>Group G</t>
  </si>
  <si>
    <t>Group H</t>
  </si>
  <si>
    <t>Brasilien</t>
  </si>
  <si>
    <t>Gruppe A</t>
  </si>
  <si>
    <t>Kroatien</t>
  </si>
  <si>
    <t>Mexiko</t>
  </si>
  <si>
    <t>Spanien</t>
  </si>
  <si>
    <t>Australien</t>
  </si>
  <si>
    <t>Schweiz</t>
  </si>
  <si>
    <t>Frankreich</t>
  </si>
  <si>
    <t>Argentinien</t>
  </si>
  <si>
    <t>Deutschland</t>
  </si>
  <si>
    <t>Belgien</t>
  </si>
  <si>
    <t>Gruppe B</t>
  </si>
  <si>
    <t>Gruppe C</t>
  </si>
  <si>
    <t>Gruppe D</t>
  </si>
  <si>
    <t>Gruppe E</t>
  </si>
  <si>
    <t>Gruppe F</t>
  </si>
  <si>
    <t>Gruppe G</t>
  </si>
  <si>
    <t>Gruppe H</t>
  </si>
  <si>
    <t>World Champion</t>
  </si>
  <si>
    <t>Weltmeister</t>
  </si>
  <si>
    <t>Match</t>
  </si>
  <si>
    <t>Result</t>
  </si>
  <si>
    <t>Ergebnis</t>
  </si>
  <si>
    <t>Spiel</t>
  </si>
  <si>
    <t>Achtelfinale</t>
  </si>
  <si>
    <t>Viertelfinale</t>
  </si>
  <si>
    <t>Halbfinale</t>
  </si>
  <si>
    <t>Platz drei</t>
  </si>
  <si>
    <t>Round of 16</t>
  </si>
  <si>
    <t>Quarter-Finals</t>
  </si>
  <si>
    <t>Semi-Finals</t>
  </si>
  <si>
    <t>Third Place</t>
  </si>
  <si>
    <t>Final</t>
  </si>
  <si>
    <t xml:space="preserve">Als alles is ingevuld, sla het bestand op met de bestandsnaam: </t>
  </si>
  <si>
    <t>Name:</t>
  </si>
  <si>
    <t>Address:</t>
  </si>
  <si>
    <t>City:</t>
  </si>
  <si>
    <t>Ort:</t>
  </si>
  <si>
    <t>Telephone number:</t>
  </si>
  <si>
    <t>Personal Information</t>
  </si>
  <si>
    <t>5. Preis</t>
  </si>
  <si>
    <t>4. Preis</t>
  </si>
  <si>
    <t>3. Preis</t>
  </si>
  <si>
    <t>2. Preis</t>
  </si>
  <si>
    <t>2nd Price</t>
  </si>
  <si>
    <t>13th price</t>
  </si>
  <si>
    <t>3th price</t>
  </si>
  <si>
    <t>23th price</t>
  </si>
  <si>
    <t>Trostpreis</t>
  </si>
  <si>
    <t>13. Preis</t>
  </si>
  <si>
    <t>23. Preis</t>
  </si>
  <si>
    <t>Encouragement price</t>
  </si>
  <si>
    <t>Deposit per team</t>
  </si>
  <si>
    <t>Kaution pro Team</t>
  </si>
  <si>
    <t>bassiespooltje@hotmail.com</t>
  </si>
  <si>
    <t>33e prijs</t>
  </si>
  <si>
    <t>43e prijs</t>
  </si>
  <si>
    <t>53e prijs</t>
  </si>
  <si>
    <t>33th price</t>
  </si>
  <si>
    <t>43th price</t>
  </si>
  <si>
    <t>53th price</t>
  </si>
  <si>
    <t>Landen</t>
  </si>
  <si>
    <t>Marokko</t>
  </si>
  <si>
    <t>Tunesië</t>
  </si>
  <si>
    <t>Senegal</t>
  </si>
  <si>
    <t>Datum</t>
  </si>
  <si>
    <t>Saudi Arabia</t>
  </si>
  <si>
    <t>Morocco</t>
  </si>
  <si>
    <t>Germany</t>
  </si>
  <si>
    <t>Tunisia</t>
  </si>
  <si>
    <t>Tunesien</t>
  </si>
  <si>
    <t>Nederlands</t>
  </si>
  <si>
    <t>English</t>
  </si>
  <si>
    <t>Deutsch</t>
  </si>
  <si>
    <t>Language:</t>
  </si>
  <si>
    <t>Taal:</t>
  </si>
  <si>
    <t>Sprache:</t>
  </si>
  <si>
    <t>Date</t>
  </si>
  <si>
    <t>select…</t>
  </si>
  <si>
    <t>selecteer…</t>
  </si>
  <si>
    <t>vul winnaar in AF1</t>
  </si>
  <si>
    <t>vul winnaar in AF2</t>
  </si>
  <si>
    <t>vul winnaar in AF3</t>
  </si>
  <si>
    <t>vul winnaar in AF4</t>
  </si>
  <si>
    <t>vul winnaar in AF5</t>
  </si>
  <si>
    <t>vul winnaar in AF6</t>
  </si>
  <si>
    <t>vul winnaar in AF7</t>
  </si>
  <si>
    <t>vul winnaar in AF8</t>
  </si>
  <si>
    <t>vul winnaar in KF1</t>
  </si>
  <si>
    <t>vul winnaar in KF2</t>
  </si>
  <si>
    <t>vul winnaar in KF3</t>
  </si>
  <si>
    <t>vul winnaar in KF4</t>
  </si>
  <si>
    <t>vul winnaar in HF1</t>
  </si>
  <si>
    <t>vul winnaar in HF2</t>
  </si>
  <si>
    <t>vul verliezer in HF1</t>
  </si>
  <si>
    <t>vul verliezer in HF2</t>
  </si>
  <si>
    <t>1. Welke land krijgt de meeste tegendoelpunten in de groepsfase?  (5 punten)</t>
  </si>
  <si>
    <t>2. Welk land krijgt de minste tegendoelpunten in de groepsfase?  (5 punten)</t>
  </si>
  <si>
    <t>3. Welk land scoort de meeste doelpunten in de groepsfase?  (5 punten)</t>
  </si>
  <si>
    <t>4. Welk land scoort de minste doelpunten in de groepsfase?  (5 punten)</t>
  </si>
  <si>
    <t>5. Wie wordt topscoorder van het toernooi?  (5 punten)</t>
  </si>
  <si>
    <t>6. Hoeveel doelpunten worden er in het toernooi gescoord?  (range ±5=5pnt)</t>
  </si>
  <si>
    <t>7. Hoeveel gele kaarten vallen er in het toernooi?   (range ±5=5pnt)</t>
  </si>
  <si>
    <t>winner of AF1</t>
  </si>
  <si>
    <t>winner of AF2</t>
  </si>
  <si>
    <t>winner of AF3</t>
  </si>
  <si>
    <t>winner of AF4</t>
  </si>
  <si>
    <t>winner of AF5</t>
  </si>
  <si>
    <t>winner of AF6</t>
  </si>
  <si>
    <t>winner of AF7</t>
  </si>
  <si>
    <t>winner of AF8</t>
  </si>
  <si>
    <t>winner of KF1</t>
  </si>
  <si>
    <t>winner of KF2</t>
  </si>
  <si>
    <t>winner of KF3</t>
  </si>
  <si>
    <t>winner of KF4</t>
  </si>
  <si>
    <t>loser of HF1</t>
  </si>
  <si>
    <t>loser of HF2</t>
  </si>
  <si>
    <t>winner of HF1</t>
  </si>
  <si>
    <t>winner of HF2</t>
  </si>
  <si>
    <t>Gewinner von AF1</t>
  </si>
  <si>
    <t>Gewinner von AF2</t>
  </si>
  <si>
    <t>Gewinner von AF3</t>
  </si>
  <si>
    <t>Gewinner von AF4</t>
  </si>
  <si>
    <t>Gewinner von AF5</t>
  </si>
  <si>
    <t>Gewinner von AF6</t>
  </si>
  <si>
    <t>Gewinner von AF7</t>
  </si>
  <si>
    <t>Gewinner von AF8</t>
  </si>
  <si>
    <t>Gewinner von KF1</t>
  </si>
  <si>
    <t>Gewinner von KF2</t>
  </si>
  <si>
    <t>Gewinner von KF3</t>
  </si>
  <si>
    <t>Gewinner von KF4</t>
  </si>
  <si>
    <t>Verlierer von HF1</t>
  </si>
  <si>
    <t>Verlierer von HF2</t>
  </si>
  <si>
    <t>Gewinner von HF1</t>
  </si>
  <si>
    <t>Gewinner von HF2</t>
  </si>
  <si>
    <t>Teamname</t>
  </si>
  <si>
    <t>Teamnaam</t>
  </si>
  <si>
    <t>Winner Third Place</t>
  </si>
  <si>
    <t>Gewinner Platz drei</t>
  </si>
  <si>
    <t>Winnaar van 3e plaats</t>
  </si>
  <si>
    <t>Winnaar finale</t>
  </si>
  <si>
    <t>Winner final</t>
  </si>
  <si>
    <t>Gewinner Finale</t>
  </si>
  <si>
    <t>score</t>
  </si>
  <si>
    <t>Taal_selecteer_formule:</t>
  </si>
  <si>
    <t>bepaald plaats</t>
  </si>
  <si>
    <t>• Het invulblad bepaalt automatisch welke landen doorgaan naar de volgende ronde,</t>
  </si>
  <si>
    <t xml:space="preserve">• Vanaf de achtste finales tot en met de finale geldt de uitslag na een eventueel verlengen van de wedstrijd, maar </t>
  </si>
  <si>
    <t>• Het invulblad geeft aan waar je eventueel een winnaar handmatig moet invullen.</t>
  </si>
  <si>
    <t>behalve bij een gelijke stand van de nummers 1 en 2 in de groepsfase en bij gelijkspel in de 'finales'.</t>
  </si>
  <si>
    <t>voor strafschoppen. Als je in een 'finale' een gelijkspel voorspelt, vul dan zelf weer de winnaar in voor de volgende 'finale'!</t>
  </si>
  <si>
    <t xml:space="preserve">.xlsx </t>
  </si>
  <si>
    <t>en stuur deze dan naar:</t>
  </si>
  <si>
    <t>• Het invulblad heeft selectiemogelijkheden voor uitslagen, toto en landenkeuze. Dit is handig voor mobiel invullen!</t>
  </si>
  <si>
    <t>• Als je de winkansen wilt spreiden, kan je ook handmatig de finalisten selecteren of een andere toto invullen.</t>
  </si>
  <si>
    <t>and sent this to</t>
  </si>
  <si>
    <t>.xlsx</t>
  </si>
  <si>
    <t>und versand zu</t>
  </si>
  <si>
    <t>The following information needs to be completed:</t>
  </si>
  <si>
    <t>• Uitslagen wedstrijden (invulformulier)</t>
  </si>
  <si>
    <t>• Detailvragen (zie hieronder)</t>
  </si>
  <si>
    <t>• Detail Questions (see below)</t>
  </si>
  <si>
    <t>• Detail Fragen (weiter unten)</t>
  </si>
  <si>
    <t>• Results from the matches (form on the left)</t>
  </si>
  <si>
    <t>• Die Ergebnisse (Formel linkerseite)</t>
  </si>
  <si>
    <t>5. Who will be top scorer of the tournament? (5 points)</t>
  </si>
  <si>
    <t>7. How many yellow cards are in the tournament? (range ±5 = 5 points)</t>
  </si>
  <si>
    <t>6. How many goals will be scored in the tournament? (range ±5 = 5 points)</t>
  </si>
  <si>
    <t>Prizes are shared in the same stand</t>
  </si>
  <si>
    <t>• The fill-in sheet automatically determines which countries will proceed to the next round,</t>
  </si>
  <si>
    <t>except for a tie of numbers 1 and 2 in the group stage and in a draw in the 'finals'.</t>
  </si>
  <si>
    <t>• The fill-in sheet indicates where you possibly have to enter a winner manually.</t>
  </si>
  <si>
    <t>• The fill-sheet has selection options for results, 'toto' and country selection. This is useful for mobile filling!</t>
  </si>
  <si>
    <t>before penalties. If you predict a draw in a 'final', then fill in manually the winner for the next 'final'!</t>
  </si>
  <si>
    <t>Right number of goals at home playing team (correct 'toto')</t>
  </si>
  <si>
    <t>Right number of goals at home playing team (incorrect 'toto')</t>
  </si>
  <si>
    <t>• If you want to spread the odds, you can also select the finalists manually or fill in another toto.</t>
  </si>
  <si>
    <t>Correct number of goals from playing team (correct 'toto')</t>
  </si>
  <si>
    <t>Correct number of goals from playing team (incorrect 'toto')</t>
  </si>
  <si>
    <t>Correct toto result (1=team 1 wins, 2=team 2 wins, 3=draw)</t>
  </si>
  <si>
    <t>Right team in quarterfinals, at any place</t>
  </si>
  <si>
    <t>Winner play-off for third place</t>
  </si>
  <si>
    <t>Right team in semi-finals, at any place</t>
  </si>
  <si>
    <t>The right team in the final, at any place</t>
  </si>
  <si>
    <t>• From the eighth finals to the final, the result will apply after a possible extension of the match, however</t>
  </si>
  <si>
    <t xml:space="preserve">When everything is filled in, save the file with the filename: </t>
  </si>
  <si>
    <t>Bitte die nächste sachen eingeben:</t>
  </si>
  <si>
    <t>Das richtige Team im Finale, an jedem Ort</t>
  </si>
  <si>
    <t xml:space="preserve">Gewinner Spiel um Platz drei </t>
  </si>
  <si>
    <t>Das richtige Team im Halbfinale, an jedem Ort</t>
  </si>
  <si>
    <t>Das richtige Team im Viertelfinale, an jedem Ort</t>
  </si>
  <si>
    <t>Richtige Anzahl der Tore vom Spielenden Team (korrektes Toto)</t>
  </si>
  <si>
    <t>Richtige Anzahl der Tore vom Heimspiel-Team (falsches Toto)</t>
  </si>
  <si>
    <t>Richtige Anzahl der Tore vom Spielenden Team  (falsches Toto)</t>
  </si>
  <si>
    <t>Richtige Anzahl der Tore vom Heimspiel-Team (korrektes Toto)</t>
  </si>
  <si>
    <t>• Vom achten Finale bis zum Finale gilt das Ergebnis nach einer möglichen Verlängerung des Match, aber</t>
  </si>
  <si>
    <t>• Das Ausfüllblatt bestimmt automatisch, welche Länder in die nächste Runde kommen.</t>
  </si>
  <si>
    <t>abgesehen von einem Unentschieden von  1. und 2. Platz in der Gruppenphase und einem Unentschieden im Finale.</t>
  </si>
  <si>
    <t>• Das Ausfüllblatt zeigt an, wo Sie möglicherweise einen Gewinner manuell eingeben müssen.</t>
  </si>
  <si>
    <t>• Wenn Sie die Quoten verteilen möchten, können Sie auch die Finalisten manuell auswählen oder ein anderes Toto ausfüllen.</t>
  </si>
  <si>
    <t>Die Preise werden im selben Stand geteilt</t>
  </si>
  <si>
    <t xml:space="preserve">Wenn alles ausgefüllt ist, speichern Sie die Datei mit dem Dateinamen: </t>
  </si>
  <si>
    <t>Auswählen…</t>
  </si>
  <si>
    <t>3. Welches Land erzielt die meisten Tore in der Gruppenphase? (5 Punkte)</t>
  </si>
  <si>
    <t>4. Welches Land erzielt die wenigsten Tore in der Gruppenphase? (5 Punkte)</t>
  </si>
  <si>
    <t>5. Wer wird Torschützenkönig des Turniers? (5 Punkte)</t>
  </si>
  <si>
    <t>Team name</t>
  </si>
  <si>
    <t>• Die Tabelle enthält Auswahloptionen für die Ergebnisse, die Toto- und die Länderauswahl. Nützlich für das Handy!</t>
  </si>
  <si>
    <t>für das Elfmeterschießen. Bei Gleichstand in einem "Finale", füllen Sie den Gewinner für das nächste "Finale" erneut aus!</t>
  </si>
  <si>
    <t>6. Wie viele Tore werden im Turnier erzielt? (Bereich ± 5 = 5 Punkte)</t>
  </si>
  <si>
    <t>Richtige toto Ergebnis (1=team 1 gewinnt, 2=team 2 gew., 3=Gleich)</t>
  </si>
  <si>
    <t>Personalien:</t>
  </si>
  <si>
    <t>Telefonnummer:</t>
  </si>
  <si>
    <t>1. Welches Land bekommt die meisten Gegentore in der Gruppenphase? (5 Punkte)</t>
  </si>
  <si>
    <t>2. Welches Land bekommt die wenigsten Gegentore in der Gruppenphase? (5 Punkte)</t>
  </si>
  <si>
    <t>7. Wieviele gelbe Karten werden im Turnier vergeben? (Bereich ± 5 = 5 Punkte)</t>
  </si>
  <si>
    <t>1. Which country will have the most goals against them in the group phase? (5 points)</t>
  </si>
  <si>
    <t>3. Which country will have the most goals for them in the group phase? (5 points)</t>
  </si>
  <si>
    <t>2. Which country will have the least goals against them in the group phase? (5 points)</t>
  </si>
  <si>
    <t>4. Which country will have the least goals for them in the group phase? (5 points)</t>
  </si>
  <si>
    <t>Qatar</t>
  </si>
  <si>
    <t>Ecuador</t>
  </si>
  <si>
    <t>Nederland</t>
  </si>
  <si>
    <t>Verenigde Staten</t>
  </si>
  <si>
    <t>Canada</t>
  </si>
  <si>
    <t>Kanada</t>
  </si>
  <si>
    <t>Ghana</t>
  </si>
  <si>
    <t>8. Wie scoort het eerste doelpunt voor Nederland?  (5 punten)</t>
  </si>
  <si>
    <t xml:space="preserve">8. Who will score the first goal for the Netherlands?  (5 points) </t>
  </si>
  <si>
    <t xml:space="preserve">8. Wer erzielt das erste Tor für die Niederlande?  (5 Punkte) </t>
  </si>
  <si>
    <t>9. Welke Nederlandse speler krijgt de eerste gele kaart?  (5 punten)</t>
  </si>
  <si>
    <t xml:space="preserve">9. Which Dutch player will receive the first yellow card?  (5 points) </t>
  </si>
  <si>
    <t xml:space="preserve">9. Welcher niederländische Spieler erhält die erste gelbe Karte?  (5 Punkte) </t>
  </si>
  <si>
    <t>10. Hoeveel doelpunten maakt Nederland in totaal?  (5 punten)</t>
  </si>
  <si>
    <t xml:space="preserve">10. How many goals will the Netherlands score in total?  (5 points) </t>
  </si>
  <si>
    <t xml:space="preserve">10. Wie viele Tore werden die Niederlande insgesamt erzielen?  (5 Punkte) </t>
  </si>
  <si>
    <t>11. Wie wordt topscoorder van Nederland?  (5 punten)</t>
  </si>
  <si>
    <t>11. Who will be the top scorer in the Netherlands?  (5 points)</t>
  </si>
  <si>
    <t>11. Wer wird der beste Torschütze in den Niederlanden sein?  (5 Punkte)</t>
  </si>
  <si>
    <t>Sanduhr</t>
  </si>
  <si>
    <t>Zandloper</t>
  </si>
  <si>
    <t>Hourglass</t>
  </si>
  <si>
    <t>Netherlands</t>
  </si>
  <si>
    <t>Niederlande</t>
  </si>
  <si>
    <t>uitslag</t>
  </si>
  <si>
    <t>Groep A + B</t>
  </si>
  <si>
    <t>Pull down menu's</t>
  </si>
  <si>
    <t>1e prijs</t>
  </si>
  <si>
    <t>1st Price</t>
  </si>
  <si>
    <t>1. Preis</t>
  </si>
  <si>
    <t>€5,- *</t>
  </si>
  <si>
    <t xml:space="preserve">Teamnaam*: </t>
  </si>
  <si>
    <t xml:space="preserve">Voornaam*: </t>
  </si>
  <si>
    <t>Tussenvoegsel*:</t>
  </si>
  <si>
    <t>Achternaam*:</t>
  </si>
  <si>
    <t xml:space="preserve">E-mail*: </t>
  </si>
  <si>
    <t>E-mail*:</t>
  </si>
  <si>
    <t>Adresse*:</t>
  </si>
  <si>
    <t>Nachname*:</t>
  </si>
  <si>
    <t>von / von der usw.*</t>
  </si>
  <si>
    <t>Vorname*:</t>
  </si>
  <si>
    <t>Teamname / Alias*:</t>
  </si>
  <si>
    <t>Teamname*:</t>
  </si>
  <si>
    <t>First name*:</t>
  </si>
  <si>
    <t>Last name*:</t>
  </si>
  <si>
    <t>Middle name*:</t>
  </si>
  <si>
    <t>• Personal information with * (see below)</t>
  </si>
  <si>
    <t>• Personalien with * (weiter unten)</t>
  </si>
  <si>
    <t>• Persoonlijke gegevens met * (zie hieronder)</t>
  </si>
  <si>
    <t>Team Oranje</t>
  </si>
  <si>
    <t>V- Aké</t>
  </si>
  <si>
    <t>V- Van Dijk</t>
  </si>
  <si>
    <t>V- Dumfries</t>
  </si>
  <si>
    <t>M- F. De Jong</t>
  </si>
  <si>
    <t>M- Koopmeiners</t>
  </si>
  <si>
    <t>A- Depay</t>
  </si>
  <si>
    <t>A- Gakpo</t>
  </si>
  <si>
    <t>A- Weghorst</t>
  </si>
  <si>
    <t>Zuid-Afrika</t>
  </si>
  <si>
    <t>Haïti</t>
  </si>
  <si>
    <t>Schotland</t>
  </si>
  <si>
    <t>Curaçao</t>
  </si>
  <si>
    <t>Ivoorkust</t>
  </si>
  <si>
    <t>Egypte</t>
  </si>
  <si>
    <t>Nieuw-Zeeland</t>
  </si>
  <si>
    <t>Kaapverdië</t>
  </si>
  <si>
    <t>Saoedi-Arabië</t>
  </si>
  <si>
    <t>Groep I</t>
  </si>
  <si>
    <t>Groep J</t>
  </si>
  <si>
    <t>Groep K</t>
  </si>
  <si>
    <t>Groep L</t>
  </si>
  <si>
    <t>Paraguay</t>
  </si>
  <si>
    <t>Noorwegen</t>
  </si>
  <si>
    <t>Algerije</t>
  </si>
  <si>
    <t>Oostenrijk</t>
  </si>
  <si>
    <t>Jordanië</t>
  </si>
  <si>
    <t>Oezbekistan</t>
  </si>
  <si>
    <t>Colombia</t>
  </si>
  <si>
    <t>Panama</t>
  </si>
  <si>
    <t>WK 2026 Voetbalpool</t>
  </si>
  <si>
    <t>a</t>
  </si>
  <si>
    <t>b</t>
  </si>
  <si>
    <t>c</t>
  </si>
  <si>
    <t>d</t>
  </si>
  <si>
    <t>resultaat</t>
  </si>
  <si>
    <t>wedstr</t>
  </si>
  <si>
    <t>nr. 3 groep A</t>
  </si>
  <si>
    <t>nr. 3 groep D</t>
  </si>
  <si>
    <t>nr. 3 groep B</t>
  </si>
  <si>
    <t>nr. 3 groep C</t>
  </si>
  <si>
    <t>nr. 3 groep E</t>
  </si>
  <si>
    <t>groep A, B, C en F</t>
  </si>
  <si>
    <t>nr. 3 groep F</t>
  </si>
  <si>
    <t>groep A, B, D en E</t>
  </si>
  <si>
    <t>groep A, B, D en F</t>
  </si>
  <si>
    <t>groep A, B, E en F</t>
  </si>
  <si>
    <t>groep A, C, D en E</t>
  </si>
  <si>
    <t>groep A, C, D en F</t>
  </si>
  <si>
    <t>groep A, C, E en F</t>
  </si>
  <si>
    <t>groep A, D, E en F</t>
  </si>
  <si>
    <t>groep B, C, D en E</t>
  </si>
  <si>
    <t>groep B, C, D en F</t>
  </si>
  <si>
    <t>groep B, C, E en F</t>
  </si>
  <si>
    <t>groep B, D, E en F</t>
  </si>
  <si>
    <t>groep C, D, E en F</t>
  </si>
  <si>
    <t>3ABCDF</t>
  </si>
  <si>
    <t>3CDFGH</t>
  </si>
  <si>
    <t>3CEFHI</t>
  </si>
  <si>
    <t>3EHIJK</t>
  </si>
  <si>
    <t>3AEHIJ</t>
  </si>
  <si>
    <t>3BEFIJ</t>
  </si>
  <si>
    <t>3EFGIJ</t>
  </si>
  <si>
    <t>3DEIJL</t>
  </si>
  <si>
    <t>I</t>
  </si>
  <si>
    <t>J</t>
  </si>
  <si>
    <t>K</t>
  </si>
  <si>
    <t>L</t>
  </si>
  <si>
    <t>do 11 jun</t>
  </si>
  <si>
    <t>vr 12 jun</t>
  </si>
  <si>
    <t>do 18 jun</t>
  </si>
  <si>
    <t>vr 19 jun</t>
  </si>
  <si>
    <t>do 25 jun</t>
  </si>
  <si>
    <t>za 13 jun</t>
  </si>
  <si>
    <t>wo 24 jun</t>
  </si>
  <si>
    <t>vr 26 jun</t>
  </si>
  <si>
    <t>zo 14 jun</t>
  </si>
  <si>
    <t>ma 15 jun</t>
  </si>
  <si>
    <t>za 20 jun</t>
  </si>
  <si>
    <t>zo 21 jun</t>
  </si>
  <si>
    <t>di 16 jun</t>
  </si>
  <si>
    <t>ma 22 jun</t>
  </si>
  <si>
    <t>za 27 jun</t>
  </si>
  <si>
    <t>wo 17 jun</t>
  </si>
  <si>
    <t>di 23 jun</t>
  </si>
  <si>
    <t>zo 28 jun</t>
  </si>
  <si>
    <t>ZF1</t>
  </si>
  <si>
    <t>ZF2</t>
  </si>
  <si>
    <t>ZF3</t>
  </si>
  <si>
    <t>ZF4</t>
  </si>
  <si>
    <t>ZF5</t>
  </si>
  <si>
    <t>ZF6</t>
  </si>
  <si>
    <t>ZF7</t>
  </si>
  <si>
    <t>ZF8</t>
  </si>
  <si>
    <t>Zestiende finales</t>
  </si>
  <si>
    <t>Round of 32</t>
  </si>
  <si>
    <t>ZF9</t>
  </si>
  <si>
    <t>ZF10</t>
  </si>
  <si>
    <t>ZF11</t>
  </si>
  <si>
    <t>ZF12</t>
  </si>
  <si>
    <t>ZF13</t>
  </si>
  <si>
    <t>ZF14</t>
  </si>
  <si>
    <t>ZF15</t>
  </si>
  <si>
    <t>ZF16</t>
  </si>
  <si>
    <t>ma 29 jun</t>
  </si>
  <si>
    <t>di 30 jun</t>
  </si>
  <si>
    <t>wo 01 jul</t>
  </si>
  <si>
    <t>do 02 jul</t>
  </si>
  <si>
    <t>vr 03 jul</t>
  </si>
  <si>
    <t>za 04 jul</t>
  </si>
  <si>
    <t>3e Poule ABCDF</t>
  </si>
  <si>
    <t>3e Poule CDFGH</t>
  </si>
  <si>
    <t>3e Poule CEFHI</t>
  </si>
  <si>
    <t>3e Poule EHIJK</t>
  </si>
  <si>
    <t>3e Poule AEHIJ</t>
  </si>
  <si>
    <t>3e Poule BEFIJ</t>
  </si>
  <si>
    <t>3e Poule EFGIJ</t>
  </si>
  <si>
    <t>3e Poule DEIJL</t>
  </si>
  <si>
    <t>Option</t>
  </si>
  <si>
    <t>3E</t>
  </si>
  <si>
    <t>3J</t>
  </si>
  <si>
    <t>3I</t>
  </si>
  <si>
    <t>3F</t>
  </si>
  <si>
    <t>3H</t>
  </si>
  <si>
    <t>3G</t>
  </si>
  <si>
    <t>3L</t>
  </si>
  <si>
    <t>3K</t>
  </si>
  <si>
    <t>3D</t>
  </si>
  <si>
    <t>3C</t>
  </si>
  <si>
    <t>3B</t>
  </si>
  <si>
    <t>3A</t>
  </si>
  <si>
    <t>Poule</t>
  </si>
  <si>
    <t>opnieuw "bepaling beste nrs 3"</t>
  </si>
  <si>
    <t>uitgoals</t>
  </si>
  <si>
    <t>combiwaarde-nieuw</t>
  </si>
  <si>
    <t>deze formule x8 kolommen</t>
  </si>
  <si>
    <t>Fifa ranking</t>
  </si>
  <si>
    <t>kolom</t>
  </si>
  <si>
    <t>hoogste rij</t>
  </si>
  <si>
    <t>zoek hoogste</t>
  </si>
  <si>
    <t>vul winnaar in ZF1</t>
  </si>
  <si>
    <t>vul winnaar in ZF2</t>
  </si>
  <si>
    <t>vul winnaar in ZF3</t>
  </si>
  <si>
    <t>vul winnaar in ZF4</t>
  </si>
  <si>
    <t>vul winnaar in ZF5</t>
  </si>
  <si>
    <t>vul winnaar in ZF6</t>
  </si>
  <si>
    <t>vul winnaar in ZF7</t>
  </si>
  <si>
    <t>vul winnaar in ZF8</t>
  </si>
  <si>
    <t>vul winnaar in ZF9</t>
  </si>
  <si>
    <t>vul winnaar in ZF10</t>
  </si>
  <si>
    <t>vul winnaar in ZF11</t>
  </si>
  <si>
    <t>vul winnaar in ZF12</t>
  </si>
  <si>
    <t>vul winnaar in ZF13</t>
  </si>
  <si>
    <t>vul winnaar in ZF14</t>
  </si>
  <si>
    <t>vul winnaar in ZF15</t>
  </si>
  <si>
    <t>vul winnaar in ZF16</t>
  </si>
  <si>
    <t>winner of ZF1</t>
  </si>
  <si>
    <t>winner of ZF2</t>
  </si>
  <si>
    <t>winner of ZF3</t>
  </si>
  <si>
    <t>winner of ZF4</t>
  </si>
  <si>
    <t>winner of ZF5</t>
  </si>
  <si>
    <t>winner of ZF6</t>
  </si>
  <si>
    <t>winner of ZF7</t>
  </si>
  <si>
    <t>winner of ZF8</t>
  </si>
  <si>
    <t>winner of ZF9</t>
  </si>
  <si>
    <t>winner of ZF10</t>
  </si>
  <si>
    <t>winner of ZF11</t>
  </si>
  <si>
    <t>winner of ZF12</t>
  </si>
  <si>
    <t>winner of ZF13</t>
  </si>
  <si>
    <t>winner of ZF14</t>
  </si>
  <si>
    <t>winner of ZF15</t>
  </si>
  <si>
    <t>winner of ZF16</t>
  </si>
  <si>
    <t>Gewinner von ZF1</t>
  </si>
  <si>
    <t>Gewinner von ZF2</t>
  </si>
  <si>
    <t>Gewinner von ZF3</t>
  </si>
  <si>
    <t>Gewinner von ZF4</t>
  </si>
  <si>
    <t>Gewinner von ZF5</t>
  </si>
  <si>
    <t>Gewinner von ZF6</t>
  </si>
  <si>
    <t>Gewinner von ZF7</t>
  </si>
  <si>
    <t>Gewinner von ZF8</t>
  </si>
  <si>
    <t>Gewinner von ZF9</t>
  </si>
  <si>
    <t>Gewinner von ZF10</t>
  </si>
  <si>
    <t>Gewinner von ZF11</t>
  </si>
  <si>
    <t>Gewinner von ZF12</t>
  </si>
  <si>
    <t>Gewinner von ZF13</t>
  </si>
  <si>
    <t>Gewinner von ZF14</t>
  </si>
  <si>
    <t>Gewinner von ZF15</t>
  </si>
  <si>
    <t>Gewinner von ZF16</t>
  </si>
  <si>
    <t>Sechzehntelfinale</t>
  </si>
  <si>
    <t>Group I</t>
  </si>
  <si>
    <t>Gruppe I</t>
  </si>
  <si>
    <t>Group J</t>
  </si>
  <si>
    <t>Gruppe J</t>
  </si>
  <si>
    <t>Group K</t>
  </si>
  <si>
    <t>Gruppe K</t>
  </si>
  <si>
    <t>Group L</t>
  </si>
  <si>
    <t>Gruppe L</t>
  </si>
  <si>
    <t>3rd Group ABCDF</t>
  </si>
  <si>
    <t>3rd Group CDFGH</t>
  </si>
  <si>
    <t>3rd Group CEFHI</t>
  </si>
  <si>
    <t>3rd Group EHIJK</t>
  </si>
  <si>
    <t>3rd Group AEHIJ</t>
  </si>
  <si>
    <t>3rd Group BEFIJ</t>
  </si>
  <si>
    <t>3rd Group EFGIJ</t>
  </si>
  <si>
    <t>3rd Group DEIJL</t>
  </si>
  <si>
    <t>3. Gruppe ABCDF</t>
  </si>
  <si>
    <t>3. Gruppe CDFGH</t>
  </si>
  <si>
    <t>3. Gruppe CEFHI</t>
  </si>
  <si>
    <t>3. Gruppe EHIJK</t>
  </si>
  <si>
    <t>3. Gruppe AEHIJ</t>
  </si>
  <si>
    <t>3. Gruppe BEFIJ</t>
  </si>
  <si>
    <t>3. Gruppe EFGIJ</t>
  </si>
  <si>
    <t>3. Gruppe DEIJL</t>
  </si>
  <si>
    <t>zo 05 jul</t>
  </si>
  <si>
    <t>ma 06 jul</t>
  </si>
  <si>
    <t>di 07 jul</t>
  </si>
  <si>
    <t>do 09 jul</t>
  </si>
  <si>
    <t>vr 10 jul</t>
  </si>
  <si>
    <t>za 11 jul</t>
  </si>
  <si>
    <t>zo 12 jul</t>
  </si>
  <si>
    <t>di 14 jul</t>
  </si>
  <si>
    <t>wo 15 jul</t>
  </si>
  <si>
    <t>za 18 jul</t>
  </si>
  <si>
    <t>F1</t>
  </si>
  <si>
    <t>zo 19 jul</t>
  </si>
  <si>
    <t>WK 2026 Inschrijfformulier</t>
  </si>
  <si>
    <t>WC 2026 Registration</t>
  </si>
  <si>
    <t>WM 2026 Anmeldung</t>
  </si>
  <si>
    <t>WM 2026 Detailfragen</t>
  </si>
  <si>
    <t>WC 2026 Detail Questions</t>
  </si>
  <si>
    <t>WK 2026 Lucky Elftal detailvragen</t>
  </si>
  <si>
    <t>WK 2026 Puntentelling</t>
  </si>
  <si>
    <t>WC 2026 Scoring</t>
  </si>
  <si>
    <t>WM 2026 Scoring</t>
  </si>
  <si>
    <t>WK 2026 Prijzen</t>
  </si>
  <si>
    <t>WC 2026 Rewards</t>
  </si>
  <si>
    <t>WM 2026 Preizen</t>
  </si>
  <si>
    <t>i1</t>
  </si>
  <si>
    <t>i2</t>
  </si>
  <si>
    <t>j1</t>
  </si>
  <si>
    <t>j2</t>
  </si>
  <si>
    <t>k1</t>
  </si>
  <si>
    <t>k2</t>
  </si>
  <si>
    <t>l1</t>
  </si>
  <si>
    <t>l2</t>
  </si>
  <si>
    <t>TF1</t>
  </si>
  <si>
    <t>South Africa</t>
  </si>
  <si>
    <t>South Korea</t>
  </si>
  <si>
    <t>Südafrika</t>
  </si>
  <si>
    <t>Südkorea</t>
  </si>
  <si>
    <t>Katar</t>
  </si>
  <si>
    <t>Switzerland</t>
  </si>
  <si>
    <t>Haiti</t>
  </si>
  <si>
    <t>Scotland</t>
  </si>
  <si>
    <t>Schottland</t>
  </si>
  <si>
    <t>United States</t>
  </si>
  <si>
    <t>Vereinigte Staaten</t>
  </si>
  <si>
    <t>Elfenbeinküste</t>
  </si>
  <si>
    <t>Egypt</t>
  </si>
  <si>
    <t>Ägypten</t>
  </si>
  <si>
    <t>New Zealand</t>
  </si>
  <si>
    <t>Neuseeland</t>
  </si>
  <si>
    <t>Kap Verde</t>
  </si>
  <si>
    <t>Saudi-Arabien</t>
  </si>
  <si>
    <t>Norway</t>
  </si>
  <si>
    <t>Norwegen</t>
  </si>
  <si>
    <t>Algeria</t>
  </si>
  <si>
    <t>Algerien</t>
  </si>
  <si>
    <t>Austria</t>
  </si>
  <si>
    <t>Österreich</t>
  </si>
  <si>
    <t>Jordan</t>
  </si>
  <si>
    <t>Jordanien</t>
  </si>
  <si>
    <t>Uzbekistan</t>
  </si>
  <si>
    <t>Usbekistan</t>
  </si>
  <si>
    <t>Kolumbien</t>
  </si>
  <si>
    <t>WC 2026 Soccer Pool</t>
  </si>
  <si>
    <t>Geben Sie das Formular  vor dem 11.06.2026 20:00Uhr bei Bas ab, ansonsten keine Teilnahme.</t>
  </si>
  <si>
    <t>Lever het formulier in vóór donderdag 11 juni 2026 20:00 uur bij Bas of Bastiaan, anders geen deelname.</t>
  </si>
  <si>
    <t>Hand in the form before thursday 11 june 19:00hr (GMT) to Bas or Bastiaan, otherwise no participation.</t>
  </si>
  <si>
    <t>Groep C + F</t>
  </si>
  <si>
    <t>Groep E  + I</t>
  </si>
  <si>
    <t>Groep H + J</t>
  </si>
  <si>
    <t>Groep K + L</t>
  </si>
  <si>
    <t>Groep D + G</t>
  </si>
  <si>
    <t>Combinaties</t>
  </si>
  <si>
    <t>ABCF</t>
  </si>
  <si>
    <t>kwart</t>
  </si>
  <si>
    <t>ABCDEFGHI</t>
  </si>
  <si>
    <t>CEFI</t>
  </si>
  <si>
    <t>ACEFHIJKL</t>
  </si>
  <si>
    <t>HJKL</t>
  </si>
  <si>
    <t>ABDEFGHIJ</t>
  </si>
  <si>
    <t>BGJH</t>
  </si>
  <si>
    <t>BDEFGHIJKL</t>
  </si>
  <si>
    <t>ABDEFGHIJKL</t>
  </si>
  <si>
    <t>Groep ABCDF</t>
  </si>
  <si>
    <t>Groep CDFGH</t>
  </si>
  <si>
    <t>Groep EHIJK</t>
  </si>
  <si>
    <t>Groep AEHIJ</t>
  </si>
  <si>
    <t>Groep BEFIJ</t>
  </si>
  <si>
    <t>Groep EFGIJ</t>
  </si>
  <si>
    <t>Groep DEIJL</t>
  </si>
  <si>
    <t>Groep CEFHI</t>
  </si>
  <si>
    <t>Groep ABCDEF</t>
  </si>
  <si>
    <t>Groep CDFGHI</t>
  </si>
  <si>
    <t>Groep ACEFHI</t>
  </si>
  <si>
    <t>Groep EHIJKL</t>
  </si>
  <si>
    <t>Groep AEGHIJ</t>
  </si>
  <si>
    <t>Groep BDEFIJ</t>
  </si>
  <si>
    <t>Groep BEFGIJ</t>
  </si>
  <si>
    <t>Groep DEIJKL</t>
  </si>
  <si>
    <t>land</t>
  </si>
  <si>
    <t>WM 2026 Fussball Tippspiel</t>
  </si>
  <si>
    <t>Tsjechië</t>
  </si>
  <si>
    <t>Tschechien</t>
  </si>
  <si>
    <t>Bosnien-Herzegowina</t>
  </si>
  <si>
    <t>Bosnia-Herzegovina</t>
  </si>
  <si>
    <t>Bosnië-Herzegovina</t>
  </si>
  <si>
    <t>Turkiye</t>
  </si>
  <si>
    <t>Turkije</t>
  </si>
  <si>
    <t>Türkei</t>
  </si>
  <si>
    <t>Czechia</t>
  </si>
  <si>
    <t>Côte d'Ivoire</t>
  </si>
  <si>
    <t>Sweden</t>
  </si>
  <si>
    <t>Zweden</t>
  </si>
  <si>
    <t>Schweden</t>
  </si>
  <si>
    <t>Cabo Verde</t>
  </si>
  <si>
    <t>Iraq</t>
  </si>
  <si>
    <t>Irak</t>
  </si>
  <si>
    <t>Der Irak</t>
  </si>
  <si>
    <t>Congo</t>
  </si>
  <si>
    <t>Kongo</t>
  </si>
  <si>
    <t>K- Flekken</t>
  </si>
  <si>
    <t>K- Verbruggen</t>
  </si>
  <si>
    <t>V- Hato</t>
  </si>
  <si>
    <t>V- van Hecke</t>
  </si>
  <si>
    <t>V- Van de Ven</t>
  </si>
  <si>
    <t>M- Gravenberch</t>
  </si>
  <si>
    <t>M- Reijnders</t>
  </si>
  <si>
    <t>A- Brobbey</t>
  </si>
  <si>
    <t>A- Malen</t>
  </si>
  <si>
    <t>nieuw tov elkaar</t>
  </si>
  <si>
    <t>The Almost Great - Red Lantarn Trophy</t>
  </si>
  <si>
    <t>Right team in eight finals, at any place</t>
  </si>
  <si>
    <t>Juiste team in achtste finale, op welke plaats dan ook</t>
  </si>
  <si>
    <t>Team op juiste plaats in zestiende finale</t>
  </si>
  <si>
    <t>Team op onjuiste plaats in zestiende finale</t>
  </si>
  <si>
    <t>Team auf dem richtigen Platz im 16. Finale</t>
  </si>
  <si>
    <t>Team on right place in 16th final</t>
  </si>
  <si>
    <t>Team auf dem falschen Platz im 16. Finale</t>
  </si>
  <si>
    <t>Das richtige Team im 8. Finale, an jedem Ort</t>
  </si>
  <si>
    <t>Team on incorrect place in 16th final</t>
  </si>
  <si>
    <t>K- Roefs</t>
  </si>
  <si>
    <t>V- J. Timber</t>
  </si>
  <si>
    <t>M- Q. Timber</t>
  </si>
  <si>
    <t>M- Wieffer</t>
  </si>
  <si>
    <t>M- De Roon</t>
  </si>
  <si>
    <t>M- Til</t>
  </si>
  <si>
    <t>A- Lang</t>
  </si>
  <si>
    <t>A- Summerville</t>
  </si>
  <si>
    <t>M- Kluivert</t>
  </si>
  <si>
    <t>v1.1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</si>
</sst>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400]h:mm:ss\ AM/PM"/>
    <numFmt numFmtId="165" formatCode="0.00000"/>
  </numFmts>
  <fonts count="34" x14ac:knownFonts="1">
    <font>
      <sz val="10"/>
      <name val="Arial"/>
    </font>
    <font>
      <b/>
      <sz val="10"/>
      <color indexed="43"/>
      <name val="Arial"/>
      <family val="2"/>
    </font>
    <font>
      <b/>
      <sz val="9"/>
      <color indexed="43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9"/>
      <color indexed="8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b/>
      <sz val="12"/>
      <color indexed="43"/>
      <name val="Arial"/>
      <family val="2"/>
    </font>
    <font>
      <sz val="8"/>
      <name val="Arial"/>
      <family val="2"/>
    </font>
    <font>
      <b/>
      <sz val="14"/>
      <color indexed="43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11"/>
      <color indexed="43"/>
      <name val="Arial"/>
      <family val="2"/>
    </font>
    <font>
      <b/>
      <sz val="11"/>
      <name val="Arial"/>
      <family val="2"/>
    </font>
    <font>
      <u/>
      <sz val="11"/>
      <name val="Arial"/>
      <family val="2"/>
    </font>
    <font>
      <b/>
      <sz val="14"/>
      <color indexed="9"/>
      <name val="Arial"/>
      <family val="2"/>
    </font>
    <font>
      <b/>
      <sz val="14"/>
      <name val="Arial"/>
      <family val="2"/>
    </font>
    <font>
      <sz val="9"/>
      <name val="Tahoma"/>
      <family val="2"/>
    </font>
    <font>
      <sz val="9"/>
      <name val="Arial"/>
      <family val="2"/>
    </font>
    <font>
      <b/>
      <sz val="9"/>
      <name val="Arial"/>
      <family val="2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b/>
      <sz val="8"/>
      <color indexed="43"/>
      <name val="Arial"/>
      <family val="2"/>
    </font>
    <font>
      <sz val="9"/>
      <color theme="1"/>
      <name val="Arial"/>
      <family val="2"/>
    </font>
    <font>
      <sz val="9"/>
      <color indexed="43"/>
      <name val="Arial"/>
      <family val="2"/>
    </font>
    <font>
      <b/>
      <sz val="10"/>
      <color theme="0"/>
      <name val="Arial"/>
      <family val="2"/>
    </font>
    <font>
      <b/>
      <i/>
      <sz val="10"/>
      <name val="Arial"/>
      <family val="2"/>
    </font>
    <font>
      <i/>
      <sz val="8"/>
      <name val="Arial"/>
      <family val="2"/>
    </font>
    <font>
      <sz val="8"/>
      <name val="Arial"/>
      <family val="2"/>
    </font>
    <font>
      <sz val="9"/>
      <color rgb="FF00B050"/>
      <name val="Arial"/>
      <family val="2"/>
    </font>
    <font>
      <b/>
      <u/>
      <sz val="10"/>
      <name val="Arial"/>
      <family val="2"/>
    </font>
    <font>
      <b/>
      <sz val="9"/>
      <name val="Tahoma"/>
      <family val="2"/>
    </font>
  </fonts>
  <fills count="12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7CE68"/>
        <bgColor rgb="FF000000"/>
      </patternFill>
    </fill>
    <fill>
      <patternFill patternType="solid">
        <fgColor rgb="FF97CE6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</fills>
  <borders count="2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</cellStyleXfs>
  <cellXfs count="246">
    <xf numFmtId="0" fontId="0" fillId="0" borderId="0" xfId="0"/>
    <xf numFmtId="0" fontId="1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3" fillId="4" borderId="0" xfId="0" applyFont="1" applyFill="1"/>
    <xf numFmtId="0" fontId="3" fillId="0" borderId="0" xfId="0" applyFont="1"/>
    <xf numFmtId="0" fontId="3" fillId="2" borderId="4" xfId="0" applyFont="1" applyFill="1" applyBorder="1"/>
    <xf numFmtId="0" fontId="3" fillId="2" borderId="5" xfId="0" applyFont="1" applyFill="1" applyBorder="1" applyAlignment="1">
      <alignment horizontal="left"/>
    </xf>
    <xf numFmtId="0" fontId="4" fillId="2" borderId="5" xfId="0" applyFont="1" applyFill="1" applyBorder="1" applyAlignment="1">
      <alignment horizontal="center"/>
    </xf>
    <xf numFmtId="0" fontId="3" fillId="4" borderId="6" xfId="0" applyFont="1" applyFill="1" applyBorder="1"/>
    <xf numFmtId="0" fontId="3" fillId="0" borderId="1" xfId="0" applyFont="1" applyBorder="1" applyAlignment="1">
      <alignment horizontal="left"/>
    </xf>
    <xf numFmtId="0" fontId="3" fillId="4" borderId="0" xfId="0" applyFont="1" applyFill="1" applyAlignment="1">
      <alignment horizontal="center"/>
    </xf>
    <xf numFmtId="0" fontId="3" fillId="0" borderId="4" xfId="0" applyFont="1" applyBorder="1"/>
    <xf numFmtId="0" fontId="3" fillId="0" borderId="5" xfId="0" applyFont="1" applyBorder="1" applyAlignment="1">
      <alignment horizontal="left"/>
    </xf>
    <xf numFmtId="0" fontId="3" fillId="0" borderId="6" xfId="0" applyFont="1" applyBorder="1"/>
    <xf numFmtId="0" fontId="3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21" fillId="0" borderId="3" xfId="0" applyFont="1" applyBorder="1" applyAlignment="1">
      <alignment horizontal="center"/>
    </xf>
    <xf numFmtId="0" fontId="0" fillId="2" borderId="2" xfId="0" applyFill="1" applyBorder="1" applyAlignment="1" applyProtection="1">
      <alignment horizontal="center" vertical="center"/>
      <protection locked="0"/>
    </xf>
    <xf numFmtId="49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center" vertical="center"/>
      <protection locked="0"/>
    </xf>
    <xf numFmtId="0" fontId="0" fillId="5" borderId="0" xfId="0" applyFill="1"/>
    <xf numFmtId="49" fontId="5" fillId="3" borderId="1" xfId="0" applyNumberFormat="1" applyFont="1" applyFill="1" applyBorder="1" applyAlignment="1" applyProtection="1">
      <alignment horizontal="left" vertical="center"/>
      <protection locked="0"/>
    </xf>
    <xf numFmtId="49" fontId="5" fillId="3" borderId="3" xfId="0" applyNumberFormat="1" applyFont="1" applyFill="1" applyBorder="1" applyAlignment="1" applyProtection="1">
      <alignment horizontal="center" vertical="center"/>
      <protection locked="0"/>
    </xf>
    <xf numFmtId="49" fontId="0" fillId="2" borderId="2" xfId="0" applyNumberFormat="1" applyFill="1" applyBorder="1" applyAlignment="1" applyProtection="1">
      <alignment horizontal="center" vertical="center"/>
      <protection locked="0"/>
    </xf>
    <xf numFmtId="49" fontId="0" fillId="2" borderId="4" xfId="0" applyNumberFormat="1" applyFill="1" applyBorder="1" applyAlignment="1" applyProtection="1">
      <alignment horizontal="center" vertical="center"/>
      <protection locked="0"/>
    </xf>
    <xf numFmtId="49" fontId="0" fillId="2" borderId="7" xfId="0" applyNumberFormat="1" applyFill="1" applyBorder="1" applyAlignment="1" applyProtection="1">
      <alignment horizontal="center" vertical="center"/>
      <protection locked="0"/>
    </xf>
    <xf numFmtId="49" fontId="0" fillId="2" borderId="3" xfId="0" applyNumberFormat="1" applyFill="1" applyBorder="1" applyAlignment="1" applyProtection="1">
      <alignment horizontal="center" vertical="center"/>
      <protection locked="0"/>
    </xf>
    <xf numFmtId="49" fontId="3" fillId="2" borderId="2" xfId="0" applyNumberFormat="1" applyFont="1" applyFill="1" applyBorder="1" applyAlignment="1" applyProtection="1">
      <alignment horizontal="center" vertical="center"/>
      <protection locked="0"/>
    </xf>
    <xf numFmtId="0" fontId="23" fillId="2" borderId="15" xfId="0" applyFont="1" applyFill="1" applyBorder="1" applyAlignment="1" applyProtection="1">
      <alignment horizontal="left" vertical="center"/>
      <protection locked="0"/>
    </xf>
    <xf numFmtId="0" fontId="23" fillId="2" borderId="15" xfId="0" applyFont="1" applyFill="1" applyBorder="1" applyProtection="1">
      <protection locked="0"/>
    </xf>
    <xf numFmtId="0" fontId="23" fillId="2" borderId="1" xfId="0" applyFont="1" applyFill="1" applyBorder="1" applyProtection="1">
      <protection locked="0"/>
    </xf>
    <xf numFmtId="0" fontId="23" fillId="2" borderId="3" xfId="0" applyFont="1" applyFill="1" applyBorder="1" applyProtection="1">
      <protection locked="0"/>
    </xf>
    <xf numFmtId="0" fontId="3" fillId="2" borderId="15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2" borderId="3" xfId="0" applyFont="1" applyFill="1" applyBorder="1" applyProtection="1">
      <protection locked="0"/>
    </xf>
    <xf numFmtId="0" fontId="23" fillId="2" borderId="1" xfId="0" applyFont="1" applyFill="1" applyBorder="1" applyAlignment="1" applyProtection="1">
      <alignment vertical="center"/>
      <protection locked="0"/>
    </xf>
    <xf numFmtId="0" fontId="23" fillId="2" borderId="3" xfId="0" applyFont="1" applyFill="1" applyBorder="1" applyAlignment="1" applyProtection="1">
      <alignment vertical="center"/>
      <protection locked="0"/>
    </xf>
    <xf numFmtId="0" fontId="7" fillId="4" borderId="20" xfId="1" applyFill="1" applyBorder="1" applyAlignment="1" applyProtection="1">
      <alignment vertical="center"/>
    </xf>
    <xf numFmtId="0" fontId="3" fillId="2" borderId="5" xfId="0" quotePrefix="1" applyFont="1" applyFill="1" applyBorder="1" applyAlignment="1">
      <alignment horizontal="left"/>
    </xf>
    <xf numFmtId="0" fontId="4" fillId="3" borderId="2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quotePrefix="1" applyFont="1" applyAlignment="1">
      <alignment horizontal="left"/>
    </xf>
    <xf numFmtId="16" fontId="3" fillId="7" borderId="0" xfId="0" applyNumberFormat="1" applyFont="1" applyFill="1" applyAlignment="1" applyProtection="1">
      <alignment horizontal="left"/>
      <protection locked="0"/>
    </xf>
    <xf numFmtId="16" fontId="20" fillId="7" borderId="0" xfId="0" applyNumberFormat="1" applyFont="1" applyFill="1" applyAlignment="1" applyProtection="1">
      <alignment horizontal="left"/>
      <protection locked="0"/>
    </xf>
    <xf numFmtId="0" fontId="0" fillId="8" borderId="0" xfId="0" applyFill="1"/>
    <xf numFmtId="49" fontId="0" fillId="8" borderId="0" xfId="0" applyNumberFormat="1" applyFill="1"/>
    <xf numFmtId="49" fontId="0" fillId="8" borderId="0" xfId="0" applyNumberFormat="1" applyFill="1" applyAlignment="1" applyProtection="1">
      <alignment horizontal="center" vertical="center"/>
      <protection locked="0"/>
    </xf>
    <xf numFmtId="0" fontId="20" fillId="2" borderId="1" xfId="0" applyFont="1" applyFill="1" applyBorder="1" applyAlignment="1" applyProtection="1">
      <alignment horizontal="left" vertical="center"/>
      <protection locked="0"/>
    </xf>
    <xf numFmtId="0" fontId="20" fillId="2" borderId="3" xfId="0" applyFont="1" applyFill="1" applyBorder="1" applyAlignment="1" applyProtection="1">
      <alignment horizontal="left" vertical="center"/>
      <protection locked="0"/>
    </xf>
    <xf numFmtId="0" fontId="3" fillId="7" borderId="0" xfId="0" applyFont="1" applyFill="1" applyAlignment="1" applyProtection="1">
      <alignment horizontal="left"/>
      <protection locked="0"/>
    </xf>
    <xf numFmtId="0" fontId="2" fillId="3" borderId="9" xfId="0" applyFont="1" applyFill="1" applyBorder="1" applyAlignment="1">
      <alignment vertical="center"/>
    </xf>
    <xf numFmtId="0" fontId="14" fillId="3" borderId="9" xfId="0" applyFont="1" applyFill="1" applyBorder="1" applyAlignment="1">
      <alignment horizontal="left" vertical="center"/>
    </xf>
    <xf numFmtId="0" fontId="1" fillId="3" borderId="9" xfId="0" applyFont="1" applyFill="1" applyBorder="1" applyAlignment="1">
      <alignment vertical="center"/>
    </xf>
    <xf numFmtId="0" fontId="1" fillId="3" borderId="9" xfId="0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left" vertical="center"/>
    </xf>
    <xf numFmtId="49" fontId="0" fillId="4" borderId="11" xfId="0" applyNumberFormat="1" applyFill="1" applyBorder="1" applyAlignment="1">
      <alignment vertical="center"/>
    </xf>
    <xf numFmtId="0" fontId="5" fillId="3" borderId="15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/>
    </xf>
    <xf numFmtId="49" fontId="5" fillId="3" borderId="1" xfId="0" applyNumberFormat="1" applyFont="1" applyFill="1" applyBorder="1" applyAlignment="1">
      <alignment vertical="center"/>
    </xf>
    <xf numFmtId="0" fontId="6" fillId="2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16" fontId="5" fillId="3" borderId="15" xfId="0" applyNumberFormat="1" applyFont="1" applyFill="1" applyBorder="1" applyAlignment="1">
      <alignment horizontal="center" vertical="center"/>
    </xf>
    <xf numFmtId="49" fontId="0" fillId="4" borderId="11" xfId="0" applyNumberForma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0" fillId="4" borderId="8" xfId="0" applyFill="1" applyBorder="1"/>
    <xf numFmtId="0" fontId="0" fillId="4" borderId="0" xfId="0" applyFill="1"/>
    <xf numFmtId="0" fontId="13" fillId="5" borderId="0" xfId="0" applyFont="1" applyFill="1" applyAlignment="1">
      <alignment vertical="top" wrapText="1"/>
    </xf>
    <xf numFmtId="0" fontId="0" fillId="4" borderId="7" xfId="0" applyFill="1" applyBorder="1"/>
    <xf numFmtId="0" fontId="0" fillId="5" borderId="7" xfId="0" applyFill="1" applyBorder="1"/>
    <xf numFmtId="0" fontId="4" fillId="4" borderId="19" xfId="0" applyFont="1" applyFill="1" applyBorder="1" applyAlignment="1">
      <alignment vertical="center"/>
    </xf>
    <xf numFmtId="0" fontId="4" fillId="4" borderId="20" xfId="0" applyFont="1" applyFill="1" applyBorder="1" applyAlignment="1">
      <alignment vertical="center" wrapText="1"/>
    </xf>
    <xf numFmtId="0" fontId="4" fillId="4" borderId="21" xfId="0" applyFont="1" applyFill="1" applyBorder="1" applyAlignment="1">
      <alignment vertical="center" wrapText="1"/>
    </xf>
    <xf numFmtId="0" fontId="4" fillId="4" borderId="12" xfId="0" applyFont="1" applyFill="1" applyBorder="1"/>
    <xf numFmtId="0" fontId="0" fillId="4" borderId="13" xfId="0" applyFill="1" applyBorder="1"/>
    <xf numFmtId="0" fontId="0" fillId="4" borderId="14" xfId="0" applyFill="1" applyBorder="1"/>
    <xf numFmtId="0" fontId="0" fillId="4" borderId="11" xfId="0" applyFill="1" applyBorder="1"/>
    <xf numFmtId="0" fontId="15" fillId="6" borderId="2" xfId="0" applyFont="1" applyFill="1" applyBorder="1" applyProtection="1">
      <protection locked="0"/>
    </xf>
    <xf numFmtId="0" fontId="0" fillId="4" borderId="11" xfId="0" applyFill="1" applyBorder="1" applyAlignment="1">
      <alignment horizontal="center" vertical="center"/>
    </xf>
    <xf numFmtId="49" fontId="0" fillId="2" borderId="5" xfId="0" applyNumberFormat="1" applyFill="1" applyBorder="1" applyAlignment="1">
      <alignment horizontal="center" vertical="center"/>
    </xf>
    <xf numFmtId="0" fontId="20" fillId="4" borderId="7" xfId="0" applyFont="1" applyFill="1" applyBorder="1"/>
    <xf numFmtId="0" fontId="22" fillId="4" borderId="0" xfId="1" applyFont="1" applyFill="1" applyBorder="1" applyAlignment="1" applyProtection="1">
      <alignment vertical="center"/>
    </xf>
    <xf numFmtId="0" fontId="4" fillId="4" borderId="23" xfId="0" applyFont="1" applyFill="1" applyBorder="1" applyAlignment="1">
      <alignment vertical="center" wrapText="1"/>
    </xf>
    <xf numFmtId="0" fontId="0" fillId="0" borderId="20" xfId="0" applyBorder="1"/>
    <xf numFmtId="0" fontId="4" fillId="0" borderId="22" xfId="0" applyFont="1" applyBorder="1"/>
    <xf numFmtId="0" fontId="1" fillId="4" borderId="8" xfId="0" applyFont="1" applyFill="1" applyBorder="1" applyAlignment="1">
      <alignment horizontal="left"/>
    </xf>
    <xf numFmtId="0" fontId="1" fillId="4" borderId="7" xfId="0" applyFont="1" applyFill="1" applyBorder="1" applyAlignment="1">
      <alignment horizontal="left"/>
    </xf>
    <xf numFmtId="0" fontId="5" fillId="4" borderId="7" xfId="0" applyFont="1" applyFill="1" applyBorder="1"/>
    <xf numFmtId="0" fontId="0" fillId="4" borderId="5" xfId="0" applyFill="1" applyBorder="1"/>
    <xf numFmtId="49" fontId="20" fillId="2" borderId="1" xfId="0" applyNumberFormat="1" applyFont="1" applyFill="1" applyBorder="1" applyAlignment="1">
      <alignment horizontal="center" vertical="center"/>
    </xf>
    <xf numFmtId="0" fontId="3" fillId="5" borderId="0" xfId="0" applyFont="1" applyFill="1"/>
    <xf numFmtId="0" fontId="4" fillId="0" borderId="0" xfId="0" applyFont="1"/>
    <xf numFmtId="0" fontId="3" fillId="0" borderId="2" xfId="0" applyFont="1" applyBorder="1"/>
    <xf numFmtId="0" fontId="4" fillId="0" borderId="2" xfId="0" applyFont="1" applyBorder="1"/>
    <xf numFmtId="0" fontId="19" fillId="0" borderId="0" xfId="0" applyFont="1"/>
    <xf numFmtId="0" fontId="19" fillId="0" borderId="0" xfId="0" applyFont="1" applyAlignment="1">
      <alignment horizontal="center"/>
    </xf>
    <xf numFmtId="0" fontId="3" fillId="0" borderId="0" xfId="0" applyFont="1" applyAlignment="1">
      <alignment wrapText="1"/>
    </xf>
    <xf numFmtId="0" fontId="4" fillId="5" borderId="0" xfId="0" applyFont="1" applyFill="1" applyAlignment="1">
      <alignment wrapText="1"/>
    </xf>
    <xf numFmtId="0" fontId="3" fillId="5" borderId="0" xfId="0" applyFont="1" applyFill="1" applyAlignment="1">
      <alignment wrapText="1"/>
    </xf>
    <xf numFmtId="0" fontId="3" fillId="5" borderId="0" xfId="0" quotePrefix="1" applyFont="1" applyFill="1" applyAlignment="1">
      <alignment wrapText="1"/>
    </xf>
    <xf numFmtId="0" fontId="3" fillId="5" borderId="0" xfId="0" applyFont="1" applyFill="1" applyAlignment="1">
      <alignment horizontal="left"/>
    </xf>
    <xf numFmtId="0" fontId="4" fillId="5" borderId="0" xfId="0" applyFont="1" applyFill="1" applyAlignment="1">
      <alignment horizontal="center"/>
    </xf>
    <xf numFmtId="16" fontId="20" fillId="7" borderId="0" xfId="0" applyNumberFormat="1" applyFont="1" applyFill="1" applyAlignment="1">
      <alignment horizontal="left"/>
    </xf>
    <xf numFmtId="49" fontId="5" fillId="3" borderId="15" xfId="0" applyNumberFormat="1" applyFont="1" applyFill="1" applyBorder="1" applyAlignment="1">
      <alignment horizontal="left" vertical="center"/>
    </xf>
    <xf numFmtId="49" fontId="5" fillId="3" borderId="1" xfId="0" applyNumberFormat="1" applyFont="1" applyFill="1" applyBorder="1" applyAlignment="1">
      <alignment horizontal="left" vertical="center"/>
    </xf>
    <xf numFmtId="49" fontId="6" fillId="2" borderId="1" xfId="0" applyNumberFormat="1" applyFont="1" applyFill="1" applyBorder="1" applyAlignment="1">
      <alignment vertical="center"/>
    </xf>
    <xf numFmtId="49" fontId="6" fillId="2" borderId="1" xfId="0" applyNumberFormat="1" applyFont="1" applyFill="1" applyBorder="1" applyAlignment="1">
      <alignment horizontal="center" vertical="center"/>
    </xf>
    <xf numFmtId="16" fontId="5" fillId="3" borderId="15" xfId="0" applyNumberFormat="1" applyFont="1" applyFill="1" applyBorder="1" applyAlignment="1">
      <alignment horizontal="left" vertical="center"/>
    </xf>
    <xf numFmtId="49" fontId="3" fillId="2" borderId="1" xfId="0" applyNumberFormat="1" applyFont="1" applyFill="1" applyBorder="1" applyAlignment="1">
      <alignment horizontal="left"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left" vertical="center"/>
    </xf>
    <xf numFmtId="49" fontId="4" fillId="8" borderId="0" xfId="0" applyNumberFormat="1" applyFont="1" applyFill="1" applyAlignment="1">
      <alignment horizontal="left" vertical="center"/>
    </xf>
    <xf numFmtId="49" fontId="0" fillId="8" borderId="0" xfId="0" applyNumberFormat="1" applyFill="1" applyAlignment="1">
      <alignment horizontal="center" vertical="center"/>
    </xf>
    <xf numFmtId="0" fontId="4" fillId="8" borderId="0" xfId="0" applyFont="1" applyFill="1" applyAlignment="1">
      <alignment horizontal="left" vertical="center"/>
    </xf>
    <xf numFmtId="49" fontId="3" fillId="2" borderId="5" xfId="0" applyNumberFormat="1" applyFont="1" applyFill="1" applyBorder="1" applyAlignment="1">
      <alignment horizontal="left" vertical="center"/>
    </xf>
    <xf numFmtId="49" fontId="0" fillId="8" borderId="0" xfId="0" applyNumberFormat="1" applyFill="1" applyAlignment="1">
      <alignment horizontal="center"/>
    </xf>
    <xf numFmtId="0" fontId="1" fillId="3" borderId="15" xfId="0" applyFont="1" applyFill="1" applyBorder="1"/>
    <xf numFmtId="0" fontId="1" fillId="3" borderId="1" xfId="0" applyFont="1" applyFill="1" applyBorder="1"/>
    <xf numFmtId="49" fontId="24" fillId="3" borderId="3" xfId="0" applyNumberFormat="1" applyFont="1" applyFill="1" applyBorder="1" applyAlignment="1">
      <alignment horizontal="right"/>
    </xf>
    <xf numFmtId="0" fontId="0" fillId="8" borderId="0" xfId="0" applyFill="1" applyAlignment="1">
      <alignment horizontal="right"/>
    </xf>
    <xf numFmtId="0" fontId="3" fillId="8" borderId="0" xfId="0" applyFont="1" applyFill="1" applyAlignment="1">
      <alignment horizontal="right"/>
    </xf>
    <xf numFmtId="0" fontId="20" fillId="8" borderId="0" xfId="0" applyFont="1" applyFill="1" applyAlignment="1">
      <alignment horizontal="right"/>
    </xf>
    <xf numFmtId="0" fontId="0" fillId="8" borderId="0" xfId="0" applyFill="1" applyAlignment="1">
      <alignment vertical="center" wrapText="1"/>
    </xf>
    <xf numFmtId="0" fontId="10" fillId="5" borderId="0" xfId="0" applyFont="1" applyFill="1"/>
    <xf numFmtId="0" fontId="10" fillId="0" borderId="0" xfId="0" applyFont="1"/>
    <xf numFmtId="16" fontId="4" fillId="4" borderId="11" xfId="0" applyNumberFormat="1" applyFont="1" applyFill="1" applyBorder="1" applyAlignment="1">
      <alignment horizontal="left" vertical="center"/>
    </xf>
    <xf numFmtId="16" fontId="0" fillId="4" borderId="11" xfId="0" applyNumberFormat="1" applyFill="1" applyBorder="1" applyAlignment="1">
      <alignment horizontal="center" vertical="center"/>
    </xf>
    <xf numFmtId="0" fontId="10" fillId="5" borderId="6" xfId="0" applyFont="1" applyFill="1" applyBorder="1"/>
    <xf numFmtId="0" fontId="10" fillId="5" borderId="10" xfId="0" applyFont="1" applyFill="1" applyBorder="1"/>
    <xf numFmtId="0" fontId="10" fillId="5" borderId="16" xfId="0" applyFont="1" applyFill="1" applyBorder="1"/>
    <xf numFmtId="164" fontId="4" fillId="4" borderId="11" xfId="0" applyNumberFormat="1" applyFont="1" applyFill="1" applyBorder="1" applyAlignment="1">
      <alignment horizontal="left" vertical="center"/>
    </xf>
    <xf numFmtId="164" fontId="5" fillId="3" borderId="1" xfId="0" applyNumberFormat="1" applyFont="1" applyFill="1" applyBorder="1" applyAlignment="1">
      <alignment horizontal="center" vertical="center"/>
    </xf>
    <xf numFmtId="164" fontId="0" fillId="5" borderId="0" xfId="0" applyNumberFormat="1" applyFill="1"/>
    <xf numFmtId="164" fontId="0" fillId="4" borderId="11" xfId="0" applyNumberFormat="1" applyFill="1" applyBorder="1"/>
    <xf numFmtId="164" fontId="0" fillId="0" borderId="0" xfId="0" applyNumberFormat="1"/>
    <xf numFmtId="0" fontId="3" fillId="5" borderId="5" xfId="0" applyFont="1" applyFill="1" applyBorder="1" applyAlignment="1">
      <alignment horizontal="right"/>
    </xf>
    <xf numFmtId="0" fontId="19" fillId="0" borderId="2" xfId="0" applyFont="1" applyBorder="1" applyAlignment="1">
      <alignment horizontal="center"/>
    </xf>
    <xf numFmtId="0" fontId="19" fillId="0" borderId="2" xfId="0" applyFont="1" applyBorder="1"/>
    <xf numFmtId="0" fontId="0" fillId="0" borderId="2" xfId="0" applyBorder="1"/>
    <xf numFmtId="0" fontId="0" fillId="0" borderId="0" xfId="0" applyAlignment="1">
      <alignment horizontal="right"/>
    </xf>
    <xf numFmtId="165" fontId="0" fillId="0" borderId="2" xfId="0" applyNumberFormat="1" applyBorder="1"/>
    <xf numFmtId="0" fontId="6" fillId="2" borderId="15" xfId="0" applyFont="1" applyFill="1" applyBorder="1" applyAlignment="1">
      <alignment horizontal="center" vertical="center"/>
    </xf>
    <xf numFmtId="20" fontId="6" fillId="2" borderId="1" xfId="0" applyNumberFormat="1" applyFont="1" applyFill="1" applyBorder="1" applyAlignment="1">
      <alignment horizontal="center" vertical="center"/>
    </xf>
    <xf numFmtId="14" fontId="6" fillId="2" borderId="15" xfId="0" applyNumberFormat="1" applyFont="1" applyFill="1" applyBorder="1" applyAlignment="1">
      <alignment horizontal="center" vertical="center"/>
    </xf>
    <xf numFmtId="14" fontId="20" fillId="2" borderId="15" xfId="0" applyNumberFormat="1" applyFont="1" applyFill="1" applyBorder="1" applyAlignment="1">
      <alignment horizontal="center" vertical="center"/>
    </xf>
    <xf numFmtId="0" fontId="4" fillId="9" borderId="2" xfId="0" applyFont="1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165" fontId="19" fillId="0" borderId="0" xfId="0" applyNumberFormat="1" applyFont="1"/>
    <xf numFmtId="165" fontId="0" fillId="10" borderId="2" xfId="0" applyNumberFormat="1" applyFill="1" applyBorder="1"/>
    <xf numFmtId="0" fontId="3" fillId="10" borderId="2" xfId="0" applyFont="1" applyFill="1" applyBorder="1"/>
    <xf numFmtId="0" fontId="0" fillId="9" borderId="0" xfId="0" applyFill="1"/>
    <xf numFmtId="0" fontId="19" fillId="11" borderId="0" xfId="0" applyFont="1" applyFill="1"/>
    <xf numFmtId="0" fontId="0" fillId="0" borderId="0" xfId="0" applyAlignment="1">
      <alignment horizontal="left"/>
    </xf>
    <xf numFmtId="0" fontId="3" fillId="4" borderId="7" xfId="0" applyFont="1" applyFill="1" applyBorder="1"/>
    <xf numFmtId="0" fontId="0" fillId="4" borderId="10" xfId="0" applyFill="1" applyBorder="1"/>
    <xf numFmtId="0" fontId="0" fillId="4" borderId="16" xfId="0" applyFill="1" applyBorder="1"/>
    <xf numFmtId="0" fontId="0" fillId="4" borderId="6" xfId="0" applyFill="1" applyBorder="1"/>
    <xf numFmtId="0" fontId="0" fillId="0" borderId="6" xfId="0" applyBorder="1"/>
    <xf numFmtId="0" fontId="16" fillId="4" borderId="0" xfId="0" applyFont="1" applyFill="1" applyAlignment="1">
      <alignment vertical="top" wrapText="1"/>
    </xf>
    <xf numFmtId="0" fontId="16" fillId="4" borderId="0" xfId="0" applyFont="1" applyFill="1" applyAlignment="1">
      <alignment horizontal="right" vertical="top" wrapText="1"/>
    </xf>
    <xf numFmtId="0" fontId="13" fillId="4" borderId="0" xfId="0" applyFont="1" applyFill="1"/>
    <xf numFmtId="0" fontId="13" fillId="4" borderId="0" xfId="0" applyFont="1" applyFill="1" applyAlignment="1">
      <alignment horizontal="left" vertical="top" wrapText="1"/>
    </xf>
    <xf numFmtId="0" fontId="12" fillId="4" borderId="6" xfId="0" applyFont="1" applyFill="1" applyBorder="1"/>
    <xf numFmtId="0" fontId="13" fillId="5" borderId="0" xfId="0" applyFont="1" applyFill="1" applyAlignment="1">
      <alignment vertical="top"/>
    </xf>
    <xf numFmtId="0" fontId="3" fillId="4" borderId="0" xfId="0" applyFont="1" applyFill="1" applyAlignment="1">
      <alignment horizontal="left" vertical="center"/>
    </xf>
    <xf numFmtId="0" fontId="3" fillId="4" borderId="0" xfId="0" applyFont="1" applyFill="1" applyAlignment="1">
      <alignment vertical="top" wrapText="1"/>
    </xf>
    <xf numFmtId="0" fontId="4" fillId="4" borderId="0" xfId="0" applyFont="1" applyFill="1"/>
    <xf numFmtId="0" fontId="27" fillId="5" borderId="0" xfId="0" applyFont="1" applyFill="1"/>
    <xf numFmtId="0" fontId="4" fillId="5" borderId="0" xfId="0" applyFont="1" applyFill="1" applyAlignment="1">
      <alignment horizontal="right"/>
    </xf>
    <xf numFmtId="0" fontId="28" fillId="4" borderId="0" xfId="0" applyFont="1" applyFill="1" applyAlignment="1">
      <alignment vertical="top" wrapText="1"/>
    </xf>
    <xf numFmtId="9" fontId="28" fillId="4" borderId="0" xfId="0" applyNumberFormat="1" applyFont="1" applyFill="1" applyAlignment="1">
      <alignment vertical="top" wrapText="1"/>
    </xf>
    <xf numFmtId="0" fontId="4" fillId="4" borderId="0" xfId="0" applyFont="1" applyFill="1" applyAlignment="1">
      <alignment vertical="top" wrapText="1"/>
    </xf>
    <xf numFmtId="0" fontId="28" fillId="4" borderId="0" xfId="0" applyFont="1" applyFill="1" applyAlignment="1">
      <alignment horizontal="right" vertical="top" wrapText="1"/>
    </xf>
    <xf numFmtId="0" fontId="29" fillId="4" borderId="0" xfId="0" applyFont="1" applyFill="1" applyAlignment="1">
      <alignment vertical="top" wrapText="1"/>
    </xf>
    <xf numFmtId="0" fontId="4" fillId="4" borderId="0" xfId="0" applyFont="1" applyFill="1" applyAlignment="1">
      <alignment horizontal="left" vertical="center" wrapText="1"/>
    </xf>
    <xf numFmtId="0" fontId="3" fillId="5" borderId="7" xfId="0" applyFont="1" applyFill="1" applyBorder="1"/>
    <xf numFmtId="0" fontId="0" fillId="5" borderId="6" xfId="0" applyFill="1" applyBorder="1"/>
    <xf numFmtId="0" fontId="0" fillId="0" borderId="7" xfId="0" applyBorder="1"/>
    <xf numFmtId="16" fontId="0" fillId="4" borderId="0" xfId="0" applyNumberFormat="1" applyFill="1" applyAlignment="1">
      <alignment horizontal="center" vertical="center"/>
    </xf>
    <xf numFmtId="164" fontId="0" fillId="4" borderId="0" xfId="0" applyNumberFormat="1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49" fontId="0" fillId="5" borderId="0" xfId="0" applyNumberForma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4" fillId="4" borderId="0" xfId="0" applyFont="1" applyFill="1" applyAlignment="1">
      <alignment horizontal="left" vertical="center"/>
    </xf>
    <xf numFmtId="49" fontId="0" fillId="4" borderId="0" xfId="0" applyNumberFormat="1" applyFill="1" applyAlignment="1">
      <alignment horizontal="center" vertical="center"/>
    </xf>
    <xf numFmtId="16" fontId="4" fillId="5" borderId="0" xfId="0" applyNumberFormat="1" applyFont="1" applyFill="1" applyAlignment="1">
      <alignment horizontal="left" vertical="center"/>
    </xf>
    <xf numFmtId="164" fontId="4" fillId="5" borderId="0" xfId="0" applyNumberFormat="1" applyFont="1" applyFill="1" applyAlignment="1">
      <alignment horizontal="left" vertical="center"/>
    </xf>
    <xf numFmtId="16" fontId="4" fillId="4" borderId="0" xfId="0" applyNumberFormat="1" applyFont="1" applyFill="1" applyAlignment="1">
      <alignment horizontal="left" vertical="center"/>
    </xf>
    <xf numFmtId="16" fontId="4" fillId="0" borderId="0" xfId="0" applyNumberFormat="1" applyFont="1" applyAlignment="1">
      <alignment horizontal="left" vertical="center"/>
    </xf>
    <xf numFmtId="164" fontId="4" fillId="4" borderId="0" xfId="0" applyNumberFormat="1" applyFont="1" applyFill="1" applyAlignment="1">
      <alignment horizontal="left" vertical="center"/>
    </xf>
    <xf numFmtId="0" fontId="4" fillId="4" borderId="0" xfId="0" applyFont="1" applyFill="1" applyAlignment="1" applyProtection="1">
      <alignment horizontal="left" vertical="center"/>
      <protection locked="0"/>
    </xf>
    <xf numFmtId="0" fontId="3" fillId="5" borderId="11" xfId="0" applyFont="1" applyFill="1" applyBorder="1"/>
    <xf numFmtId="0" fontId="5" fillId="3" borderId="1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vertical="center"/>
    </xf>
    <xf numFmtId="0" fontId="3" fillId="5" borderId="1" xfId="0" applyFont="1" applyFill="1" applyBorder="1"/>
    <xf numFmtId="0" fontId="0" fillId="0" borderId="1" xfId="0" applyBorder="1"/>
    <xf numFmtId="0" fontId="3" fillId="0" borderId="1" xfId="0" applyFont="1" applyBorder="1"/>
    <xf numFmtId="0" fontId="10" fillId="7" borderId="0" xfId="0" applyFont="1" applyFill="1" applyAlignment="1" applyProtection="1">
      <alignment horizontal="right"/>
      <protection locked="0"/>
    </xf>
    <xf numFmtId="49" fontId="26" fillId="3" borderId="15" xfId="0" applyNumberFormat="1" applyFont="1" applyFill="1" applyBorder="1" applyAlignment="1">
      <alignment vertical="center"/>
    </xf>
    <xf numFmtId="49" fontId="9" fillId="3" borderId="1" xfId="0" applyNumberFormat="1" applyFont="1" applyFill="1" applyBorder="1" applyAlignment="1">
      <alignment vertical="center"/>
    </xf>
    <xf numFmtId="49" fontId="2" fillId="3" borderId="1" xfId="0" applyNumberFormat="1" applyFont="1" applyFill="1" applyBorder="1" applyAlignment="1">
      <alignment vertical="center"/>
    </xf>
    <xf numFmtId="49" fontId="2" fillId="3" borderId="1" xfId="0" applyNumberFormat="1" applyFont="1" applyFill="1" applyBorder="1" applyAlignment="1" applyProtection="1">
      <alignment vertical="center"/>
      <protection locked="0"/>
    </xf>
    <xf numFmtId="49" fontId="1" fillId="3" borderId="1" xfId="0" applyNumberFormat="1" applyFont="1" applyFill="1" applyBorder="1" applyAlignment="1" applyProtection="1">
      <alignment vertical="center"/>
      <protection locked="0"/>
    </xf>
    <xf numFmtId="49" fontId="1" fillId="3" borderId="3" xfId="0" applyNumberFormat="1" applyFont="1" applyFill="1" applyBorder="1" applyAlignment="1" applyProtection="1">
      <alignment horizontal="center" vertical="center"/>
      <protection locked="0"/>
    </xf>
    <xf numFmtId="49" fontId="6" fillId="2" borderId="15" xfId="0" applyNumberFormat="1" applyFont="1" applyFill="1" applyBorder="1" applyAlignment="1">
      <alignment vertical="center"/>
    </xf>
    <xf numFmtId="49" fontId="25" fillId="2" borderId="15" xfId="0" applyNumberFormat="1" applyFont="1" applyFill="1" applyBorder="1" applyAlignment="1">
      <alignment vertical="center"/>
    </xf>
    <xf numFmtId="49" fontId="3" fillId="2" borderId="15" xfId="0" applyNumberFormat="1" applyFont="1" applyFill="1" applyBorder="1" applyAlignment="1">
      <alignment horizontal="left" vertical="center"/>
    </xf>
    <xf numFmtId="16" fontId="31" fillId="7" borderId="0" xfId="0" applyNumberFormat="1" applyFont="1" applyFill="1" applyAlignment="1" applyProtection="1">
      <alignment horizontal="right"/>
      <protection locked="0"/>
    </xf>
    <xf numFmtId="0" fontId="1" fillId="3" borderId="2" xfId="0" applyFont="1" applyFill="1" applyBorder="1"/>
    <xf numFmtId="0" fontId="0" fillId="0" borderId="0" xfId="0" applyAlignment="1">
      <alignment vertical="center" wrapText="1"/>
    </xf>
    <xf numFmtId="0" fontId="4" fillId="5" borderId="0" xfId="0" applyFont="1" applyFill="1"/>
    <xf numFmtId="0" fontId="3" fillId="10" borderId="0" xfId="0" applyFont="1" applyFill="1"/>
    <xf numFmtId="0" fontId="4" fillId="11" borderId="0" xfId="0" applyFont="1" applyFill="1"/>
    <xf numFmtId="0" fontId="4" fillId="5" borderId="0" xfId="0" applyFont="1" applyFill="1" applyAlignment="1">
      <alignment horizontal="left"/>
    </xf>
    <xf numFmtId="0" fontId="3" fillId="0" borderId="0" xfId="0" applyFont="1" applyAlignment="1">
      <alignment horizontal="left" wrapText="1"/>
    </xf>
    <xf numFmtId="0" fontId="4" fillId="0" borderId="0" xfId="0" applyFont="1" applyAlignment="1">
      <alignment horizontal="left"/>
    </xf>
    <xf numFmtId="0" fontId="32" fillId="0" borderId="0" xfId="0" applyFont="1"/>
    <xf numFmtId="0" fontId="4" fillId="3" borderId="2" xfId="0" applyFont="1" applyFill="1" applyBorder="1" applyAlignment="1">
      <alignment horizontal="left"/>
    </xf>
    <xf numFmtId="16" fontId="0" fillId="4" borderId="9" xfId="0" applyNumberFormat="1" applyFill="1" applyBorder="1" applyAlignment="1">
      <alignment horizontal="center" vertical="center"/>
    </xf>
    <xf numFmtId="164" fontId="0" fillId="5" borderId="9" xfId="0" applyNumberFormat="1" applyFill="1" applyBorder="1"/>
    <xf numFmtId="0" fontId="0" fillId="5" borderId="9" xfId="0" applyFill="1" applyBorder="1"/>
    <xf numFmtId="49" fontId="0" fillId="4" borderId="9" xfId="0" applyNumberFormat="1" applyFill="1" applyBorder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0" fontId="3" fillId="11" borderId="0" xfId="0" applyFont="1" applyFill="1"/>
    <xf numFmtId="0" fontId="13" fillId="4" borderId="0" xfId="0" applyFont="1" applyFill="1" applyAlignment="1">
      <alignment vertical="top" wrapText="1"/>
    </xf>
    <xf numFmtId="0" fontId="3" fillId="0" borderId="0" xfId="0" applyFont="1" applyAlignment="1">
      <alignment vertical="center" wrapText="1"/>
    </xf>
    <xf numFmtId="0" fontId="29" fillId="5" borderId="0" xfId="0" applyFont="1" applyFill="1"/>
    <xf numFmtId="14" fontId="0" fillId="0" borderId="0" xfId="0" applyNumberFormat="1" applyAlignment="1">
      <alignment horizontal="left"/>
    </xf>
    <xf numFmtId="0" fontId="33" fillId="0" borderId="2" xfId="0" applyFont="1" applyBorder="1" applyAlignment="1">
      <alignment horizontal="center"/>
    </xf>
    <xf numFmtId="0" fontId="14" fillId="3" borderId="0" xfId="0" applyFont="1" applyFill="1" applyAlignment="1">
      <alignment horizontal="center"/>
    </xf>
    <xf numFmtId="16" fontId="17" fillId="3" borderId="15" xfId="0" applyNumberFormat="1" applyFont="1" applyFill="1" applyBorder="1" applyAlignment="1">
      <alignment horizontal="left" vertical="center"/>
    </xf>
    <xf numFmtId="16" fontId="17" fillId="3" borderId="1" xfId="0" applyNumberFormat="1" applyFont="1" applyFill="1" applyBorder="1" applyAlignment="1">
      <alignment horizontal="left" vertical="center"/>
    </xf>
    <xf numFmtId="16" fontId="17" fillId="3" borderId="17" xfId="0" applyNumberFormat="1" applyFont="1" applyFill="1" applyBorder="1" applyAlignment="1">
      <alignment horizontal="left" vertical="center"/>
    </xf>
    <xf numFmtId="0" fontId="18" fillId="2" borderId="18" xfId="0" applyFont="1" applyFill="1" applyBorder="1" applyAlignment="1" applyProtection="1">
      <alignment horizontal="left" vertical="center"/>
      <protection locked="0"/>
    </xf>
    <xf numFmtId="0" fontId="18" fillId="2" borderId="1" xfId="0" applyFont="1" applyFill="1" applyBorder="1" applyAlignment="1" applyProtection="1">
      <alignment horizontal="left" vertical="center"/>
      <protection locked="0"/>
    </xf>
    <xf numFmtId="0" fontId="18" fillId="2" borderId="3" xfId="0" applyFont="1" applyFill="1" applyBorder="1" applyAlignment="1" applyProtection="1">
      <alignment horizontal="left" vertical="center"/>
      <protection locked="0"/>
    </xf>
    <xf numFmtId="0" fontId="8" fillId="5" borderId="15" xfId="0" applyFont="1" applyFill="1" applyBorder="1" applyAlignment="1" applyProtection="1">
      <alignment horizontal="left" vertical="center" wrapText="1"/>
      <protection locked="0"/>
    </xf>
    <xf numFmtId="0" fontId="8" fillId="5" borderId="1" xfId="0" applyFont="1" applyFill="1" applyBorder="1" applyAlignment="1" applyProtection="1">
      <alignment horizontal="left" vertical="center" wrapText="1"/>
      <protection locked="0"/>
    </xf>
    <xf numFmtId="0" fontId="8" fillId="5" borderId="3" xfId="0" applyFont="1" applyFill="1" applyBorder="1" applyAlignment="1" applyProtection="1">
      <alignment horizontal="left" vertical="center" wrapText="1"/>
      <protection locked="0"/>
    </xf>
    <xf numFmtId="0" fontId="14" fillId="3" borderId="0" xfId="0" applyFont="1" applyFill="1" applyAlignment="1">
      <alignment horizontal="center"/>
    </xf>
    <xf numFmtId="0" fontId="28" fillId="4" borderId="0" xfId="0" applyFont="1" applyFill="1" applyAlignment="1">
      <alignment vertical="top" wrapText="1"/>
    </xf>
    <xf numFmtId="0" fontId="9" fillId="3" borderId="9" xfId="0" applyFont="1" applyFill="1" applyBorder="1" applyAlignment="1">
      <alignment horizontal="center" vertical="center"/>
    </xf>
    <xf numFmtId="0" fontId="13" fillId="4" borderId="0" xfId="0" applyFont="1" applyFill="1" applyAlignment="1">
      <alignment horizontal="left" vertical="top" wrapText="1"/>
    </xf>
    <xf numFmtId="0" fontId="11" fillId="3" borderId="9" xfId="0" applyFont="1" applyFill="1" applyBorder="1" applyAlignment="1">
      <alignment horizontal="center"/>
    </xf>
    <xf numFmtId="0" fontId="0" fillId="8" borderId="0" xfId="0" applyFill="1" applyAlignment="1">
      <alignment vertical="center" wrapText="1"/>
    </xf>
    <xf numFmtId="0" fontId="0" fillId="8" borderId="7" xfId="0" applyFill="1" applyBorder="1" applyAlignment="1">
      <alignment vertical="center" wrapText="1"/>
    </xf>
  </cellXfs>
  <cellStyles count="2">
    <cellStyle name="Hyperlink" xfId="1" builtinId="8"/>
    <cellStyle name="Standaard" xfId="0" builtinId="0"/>
  </cellStyles>
  <dxfs count="19">
    <dxf>
      <font>
        <b/>
        <i val="0"/>
        <condense val="0"/>
        <extend val="0"/>
        <color indexed="52"/>
      </font>
    </dxf>
    <dxf>
      <font>
        <b/>
        <i val="0"/>
        <condense val="0"/>
        <extend val="0"/>
        <color indexed="52"/>
      </font>
    </dxf>
    <dxf>
      <font>
        <b/>
        <i val="0"/>
        <condense val="0"/>
        <extend val="0"/>
        <color indexed="52"/>
      </font>
    </dxf>
    <dxf>
      <font>
        <b/>
        <i val="0"/>
        <condense val="0"/>
        <extend val="0"/>
        <color indexed="52"/>
      </font>
    </dxf>
    <dxf>
      <font>
        <b/>
        <i val="0"/>
        <condense val="0"/>
        <extend val="0"/>
        <color indexed="52"/>
      </font>
    </dxf>
    <dxf>
      <font>
        <b/>
        <i val="0"/>
        <condense val="0"/>
        <extend val="0"/>
        <color indexed="52"/>
      </font>
    </dxf>
    <dxf>
      <font>
        <b/>
        <i val="0"/>
        <condense val="0"/>
        <extend val="0"/>
        <color indexed="52"/>
      </font>
    </dxf>
    <dxf>
      <font>
        <b/>
        <i val="0"/>
        <condense val="0"/>
        <extend val="0"/>
        <color indexed="52"/>
      </font>
    </dxf>
    <dxf>
      <font>
        <b/>
        <i val="0"/>
        <condense val="0"/>
        <extend val="0"/>
        <color indexed="52"/>
      </font>
    </dxf>
    <dxf>
      <font>
        <b/>
        <i val="0"/>
        <condense val="0"/>
        <extend val="0"/>
        <color indexed="52"/>
      </font>
    </dxf>
    <dxf>
      <font>
        <b/>
        <i val="0"/>
        <condense val="0"/>
        <extend val="0"/>
        <color indexed="52"/>
      </font>
    </dxf>
    <dxf>
      <font>
        <b/>
        <i val="0"/>
        <condense val="0"/>
        <extend val="0"/>
        <color indexed="52"/>
      </font>
    </dxf>
    <dxf>
      <font>
        <b/>
        <i val="0"/>
        <condense val="0"/>
        <extend val="0"/>
        <color indexed="52"/>
      </font>
    </dxf>
    <dxf>
      <font>
        <b/>
        <i val="0"/>
        <condense val="0"/>
        <extend val="0"/>
        <color indexed="52"/>
      </font>
    </dxf>
    <dxf>
      <font>
        <b/>
        <i val="0"/>
        <condense val="0"/>
        <extend val="0"/>
        <color indexed="52"/>
      </font>
    </dxf>
    <dxf>
      <font>
        <b/>
        <i val="0"/>
        <condense val="0"/>
        <extend val="0"/>
        <color indexed="52"/>
      </font>
    </dxf>
    <dxf>
      <font>
        <b/>
        <i val="0"/>
        <condense val="0"/>
        <extend val="0"/>
        <color indexed="52"/>
      </font>
    </dxf>
    <dxf>
      <font>
        <b/>
        <i val="0"/>
        <condense val="0"/>
        <extend val="0"/>
        <color indexed="52"/>
      </font>
    </dxf>
    <dxf>
      <font>
        <b/>
        <i val="0"/>
        <condense val="0"/>
        <extend val="0"/>
        <color indexed="52"/>
      </font>
    </dxf>
  </dxfs>
  <tableStyles count="0" defaultTableStyle="TableStyleMedium9" defaultPivotStyle="PivotStyleLight16"/>
  <colors>
    <mruColors>
      <color rgb="FF97CE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110289</xdr:colOff>
      <xdr:row>1</xdr:row>
      <xdr:rowOff>20161</xdr:rowOff>
    </xdr:from>
    <xdr:to>
      <xdr:col>22</xdr:col>
      <xdr:colOff>6646</xdr:colOff>
      <xdr:row>6</xdr:row>
      <xdr:rowOff>160421</xdr:rowOff>
    </xdr:to>
    <xdr:pic>
      <xdr:nvPicPr>
        <xdr:cNvPr id="4" name="Afbeelding 3" descr="logoWK26">
          <a:extLst>
            <a:ext uri="{FF2B5EF4-FFF2-40B4-BE49-F238E27FC236}">
              <a16:creationId xmlns:a16="http://schemas.microsoft.com/office/drawing/2014/main" id="{04784D17-B9BC-0B67-DFE1-57F8715345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557960" y="250766"/>
          <a:ext cx="681144" cy="10426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1"/>
  <dimension ref="A1:BJ709"/>
  <sheetViews>
    <sheetView showGridLines="0" showRowColHeaders="0" tabSelected="1" view="pageBreakPreview" topLeftCell="A6" zoomScaleNormal="115" zoomScaleSheetLayoutView="100" workbookViewId="0">
      <selection activeCell="N10" sqref="N10:V10"/>
    </sheetView>
  </sheetViews>
  <sheetFormatPr defaultColWidth="1.85546875" defaultRowHeight="12.75" zeroHeight="1" x14ac:dyDescent="0.2"/>
  <cols>
    <col min="1" max="1" width="3.85546875" style="124" customWidth="1"/>
    <col min="2" max="2" width="8.5703125" customWidth="1"/>
    <col min="3" max="3" width="6.28515625" style="134" customWidth="1"/>
    <col min="4" max="4" width="16.5703125" customWidth="1"/>
    <col min="5" max="5" width="2.5703125" customWidth="1"/>
    <col min="6" max="6" width="16.7109375" customWidth="1"/>
    <col min="7" max="7" width="6.85546875" customWidth="1"/>
    <col min="8" max="8" width="2.7109375" customWidth="1"/>
    <col min="9" max="9" width="6.85546875" customWidth="1"/>
    <col min="10" max="10" width="6.7109375" customWidth="1"/>
    <col min="11" max="11" width="6.5703125" customWidth="1"/>
    <col min="12" max="12" width="3.5703125" customWidth="1"/>
    <col min="13" max="13" width="49.28515625" customWidth="1"/>
    <col min="14" max="15" width="13.140625" customWidth="1"/>
    <col min="16" max="16" width="4.7109375" customWidth="1"/>
    <col min="17" max="18" width="9.140625" customWidth="1"/>
    <col min="19" max="19" width="2" customWidth="1"/>
    <col min="20" max="20" width="1.42578125" customWidth="1"/>
    <col min="21" max="21" width="9.140625" customWidth="1"/>
    <col min="22" max="22" width="2.7109375" customWidth="1"/>
    <col min="23" max="23" width="6.5703125" customWidth="1"/>
    <col min="24" max="24" width="2.28515625" customWidth="1"/>
    <col min="25" max="25" width="2.28515625" style="4" hidden="1" customWidth="1"/>
    <col min="26" max="26" width="11.7109375" style="4" hidden="1" customWidth="1"/>
    <col min="27" max="31" width="9.28515625" style="4" hidden="1" customWidth="1"/>
    <col min="32" max="32" width="11.85546875" style="4" hidden="1" customWidth="1"/>
    <col min="33" max="33" width="2.42578125" hidden="1" customWidth="1"/>
    <col min="34" max="34" width="11.5703125" hidden="1" customWidth="1"/>
    <col min="35" max="37" width="2" hidden="1" customWidth="1"/>
    <col min="38" max="38" width="11.5703125" hidden="1" customWidth="1"/>
    <col min="39" max="39" width="2.7109375" hidden="1" customWidth="1"/>
    <col min="40" max="40" width="3.7109375" hidden="1" customWidth="1"/>
    <col min="41" max="41" width="11.7109375" hidden="1" customWidth="1"/>
    <col min="42" max="42" width="9.28515625" hidden="1" customWidth="1"/>
    <col min="43" max="43" width="12.85546875" hidden="1" customWidth="1"/>
    <col min="44" max="44" width="9.28515625" hidden="1" customWidth="1"/>
    <col min="45" max="50" width="9.140625" hidden="1" customWidth="1"/>
    <col min="51" max="51" width="12.42578125" hidden="1" customWidth="1"/>
    <col min="52" max="52" width="9.7109375" hidden="1" customWidth="1"/>
    <col min="53" max="53" width="21.140625" hidden="1" customWidth="1"/>
    <col min="54" max="54" width="9.140625" hidden="1" customWidth="1"/>
    <col min="55" max="56" width="15.85546875" hidden="1" customWidth="1"/>
    <col min="57" max="57" width="18.7109375" hidden="1" customWidth="1"/>
    <col min="58" max="58" width="18.7109375" style="152" hidden="1" customWidth="1"/>
    <col min="59" max="59" width="15.42578125" style="152" hidden="1" customWidth="1"/>
    <col min="60" max="60" width="17.42578125" hidden="1" customWidth="1"/>
    <col min="61" max="62" width="5.7109375" hidden="1" customWidth="1"/>
    <col min="63" max="63" width="2.5703125" customWidth="1"/>
    <col min="64" max="16383" width="0" hidden="1" customWidth="1"/>
  </cols>
  <sheetData>
    <row r="1" spans="1:61" s="90" customFormat="1" ht="18" x14ac:dyDescent="0.25">
      <c r="A1" s="129"/>
      <c r="B1" s="241" t="str">
        <f>Groepsloting!$B$73</f>
        <v>WK 2026 Voetbalpool</v>
      </c>
      <c r="C1" s="241"/>
      <c r="D1" s="241"/>
      <c r="E1" s="241"/>
      <c r="F1" s="51" t="str">
        <f>IF(ISBLANK(N10),"",Groepsloting!$B$74)</f>
        <v/>
      </c>
      <c r="G1" s="52" t="str">
        <f>IF(ISBLANK(N10),"",$N$10)</f>
        <v/>
      </c>
      <c r="H1" s="53"/>
      <c r="I1" s="53"/>
      <c r="J1" s="54"/>
      <c r="K1" s="85"/>
      <c r="L1" s="155"/>
      <c r="M1" s="243" t="str">
        <f>Groepsloting!$B$164</f>
        <v>WK 2026 Inschrijfformulier</v>
      </c>
      <c r="N1" s="243"/>
      <c r="O1" s="243"/>
      <c r="P1" s="243"/>
      <c r="Q1" s="243"/>
      <c r="R1" s="243"/>
      <c r="S1" s="243"/>
      <c r="T1" s="243"/>
      <c r="U1" s="243"/>
      <c r="V1" s="243"/>
      <c r="W1" s="65"/>
      <c r="X1" s="66"/>
      <c r="Y1" s="91" t="s">
        <v>92</v>
      </c>
      <c r="Z1" s="91"/>
      <c r="AA1" s="4"/>
      <c r="AB1" s="4"/>
      <c r="AC1" s="4"/>
      <c r="AD1" s="4"/>
      <c r="AE1" s="4"/>
      <c r="AF1" s="4"/>
      <c r="AG1"/>
      <c r="AH1"/>
      <c r="AI1"/>
      <c r="AJ1"/>
      <c r="AK1"/>
      <c r="AL1"/>
      <c r="AM1" s="4"/>
      <c r="AN1" s="4"/>
      <c r="AO1" s="91" t="s">
        <v>60</v>
      </c>
      <c r="AP1" s="4">
        <v>2</v>
      </c>
      <c r="AQ1" s="4">
        <v>3</v>
      </c>
      <c r="AR1" s="4">
        <v>4</v>
      </c>
      <c r="AS1" s="4">
        <v>5</v>
      </c>
      <c r="AT1" s="4">
        <v>6</v>
      </c>
      <c r="AU1" s="4">
        <v>7</v>
      </c>
      <c r="AV1" s="4">
        <v>8</v>
      </c>
      <c r="AW1" s="4">
        <v>9</v>
      </c>
      <c r="AX1" s="4">
        <v>10</v>
      </c>
      <c r="AY1" s="4">
        <v>11</v>
      </c>
      <c r="AZ1" s="4">
        <v>12</v>
      </c>
      <c r="BA1" s="4"/>
      <c r="BB1"/>
      <c r="BC1"/>
      <c r="BD1"/>
      <c r="BE1" s="91" t="s">
        <v>377</v>
      </c>
      <c r="BF1" s="152"/>
      <c r="BG1" s="227">
        <v>46113</v>
      </c>
      <c r="BH1"/>
    </row>
    <row r="2" spans="1:61" s="90" customFormat="1" ht="14.25" x14ac:dyDescent="0.2">
      <c r="A2" s="127"/>
      <c r="B2" s="125" t="s">
        <v>0</v>
      </c>
      <c r="C2" s="130"/>
      <c r="D2" s="55"/>
      <c r="E2" s="56"/>
      <c r="F2" s="55"/>
      <c r="G2" s="78" t="s">
        <v>0</v>
      </c>
      <c r="H2" s="63"/>
      <c r="I2" s="78"/>
      <c r="J2" s="78"/>
      <c r="K2" s="86"/>
      <c r="L2" s="156"/>
      <c r="M2" s="67"/>
      <c r="N2" s="67"/>
      <c r="O2" s="67"/>
      <c r="P2" s="67"/>
      <c r="Q2" s="67"/>
      <c r="R2" s="67"/>
      <c r="S2" s="67"/>
      <c r="T2" s="67"/>
      <c r="U2" s="67"/>
      <c r="V2" s="67"/>
      <c r="W2" s="68"/>
      <c r="X2" s="66"/>
      <c r="Y2" s="15"/>
      <c r="Z2" s="15" t="s">
        <v>1</v>
      </c>
      <c r="AA2" s="16" t="s">
        <v>19</v>
      </c>
      <c r="AB2" s="16" t="s">
        <v>20</v>
      </c>
      <c r="AC2" s="16" t="s">
        <v>21</v>
      </c>
      <c r="AD2" s="16" t="s">
        <v>22</v>
      </c>
      <c r="AE2" s="16" t="s">
        <v>23</v>
      </c>
      <c r="AF2" s="4"/>
      <c r="AG2" s="4"/>
      <c r="AH2" s="91" t="s">
        <v>58</v>
      </c>
      <c r="AI2" s="4"/>
      <c r="AJ2" s="4"/>
      <c r="AK2" s="4"/>
      <c r="AL2" s="4"/>
      <c r="AM2" s="4"/>
      <c r="AN2" s="4"/>
      <c r="AO2" s="94" t="s">
        <v>276</v>
      </c>
      <c r="AP2" s="94" t="s">
        <v>69</v>
      </c>
      <c r="AQ2" s="95" t="s">
        <v>61</v>
      </c>
      <c r="AR2" s="95" t="s">
        <v>68</v>
      </c>
      <c r="AS2" s="95" t="s">
        <v>65</v>
      </c>
      <c r="AT2" s="95" t="s">
        <v>66</v>
      </c>
      <c r="AU2" s="95" t="s">
        <v>67</v>
      </c>
      <c r="AV2" s="95" t="s">
        <v>62</v>
      </c>
      <c r="AW2" s="95" t="s">
        <v>63</v>
      </c>
      <c r="AX2" s="95" t="s">
        <v>64</v>
      </c>
      <c r="AY2" s="95"/>
      <c r="AZ2" s="94" t="s">
        <v>77</v>
      </c>
      <c r="BA2" s="151"/>
      <c r="BB2" s="95"/>
      <c r="BC2" s="4"/>
      <c r="BD2" s="4"/>
      <c r="BE2" s="91" t="str">
        <f>Groepsloting!B1</f>
        <v>Groep A</v>
      </c>
      <c r="BF2" s="215" t="str">
        <f>Groepsloting!B237</f>
        <v>Landen</v>
      </c>
      <c r="BG2" s="213" t="s">
        <v>536</v>
      </c>
      <c r="BH2" s="91" t="s">
        <v>400</v>
      </c>
      <c r="BI2" s="91" t="s">
        <v>375</v>
      </c>
    </row>
    <row r="3" spans="1:61" s="90" customFormat="1" ht="14.25" customHeight="1" x14ac:dyDescent="0.25">
      <c r="A3" s="127"/>
      <c r="B3" s="57" t="str">
        <f>Groepsloting!$B1</f>
        <v>Groep A</v>
      </c>
      <c r="C3" s="131"/>
      <c r="D3" s="58" t="str">
        <f>Groepsloting!$B$119</f>
        <v>Wedstrijd</v>
      </c>
      <c r="E3" s="59"/>
      <c r="F3" s="58"/>
      <c r="G3" s="58"/>
      <c r="H3" s="192" t="str">
        <f>Groepsloting!$B$120</f>
        <v>Uitslag</v>
      </c>
      <c r="I3" s="58"/>
      <c r="J3" s="64" t="str">
        <f>Groepsloting!$B$121</f>
        <v>Toto</v>
      </c>
      <c r="K3" s="86"/>
      <c r="L3" s="157"/>
      <c r="M3" s="158" t="str">
        <f>Groepsloting!$B$165</f>
        <v>Deze gegevens moeten in ieder geval compleet zijn:</v>
      </c>
      <c r="N3" s="159" t="str">
        <f>Groepsloting!B289</f>
        <v>Taal:</v>
      </c>
      <c r="O3" s="77" t="s">
        <v>202</v>
      </c>
      <c r="P3" s="158"/>
      <c r="Q3" s="158"/>
      <c r="R3" s="158"/>
      <c r="S3" s="158"/>
      <c r="T3" s="158"/>
      <c r="U3" s="158"/>
      <c r="V3" s="158"/>
      <c r="W3" s="68"/>
      <c r="X3" s="66"/>
      <c r="Y3" s="11">
        <v>1</v>
      </c>
      <c r="Z3" s="12" t="str">
        <f t="shared" ref="Z3:AE3" si="0">VLOOKUP($Y3,$AO$3:$AX$6,AP$1,0)</f>
        <v>Mexico</v>
      </c>
      <c r="AA3" s="12">
        <f t="shared" si="0"/>
        <v>0</v>
      </c>
      <c r="AB3" s="12">
        <f t="shared" si="0"/>
        <v>0</v>
      </c>
      <c r="AC3" s="12">
        <f t="shared" si="0"/>
        <v>0</v>
      </c>
      <c r="AD3" s="12">
        <f t="shared" si="0"/>
        <v>0</v>
      </c>
      <c r="AE3" s="12">
        <f t="shared" si="0"/>
        <v>0</v>
      </c>
      <c r="AF3" s="13"/>
      <c r="AG3" s="92" t="s">
        <v>69</v>
      </c>
      <c r="AH3" s="93" t="s">
        <v>57</v>
      </c>
      <c r="AI3" s="93"/>
      <c r="AJ3" s="93"/>
      <c r="AK3" s="93"/>
      <c r="AL3" s="93" t="s">
        <v>59</v>
      </c>
      <c r="AM3" s="13"/>
      <c r="AN3" s="4" t="str">
        <f>AP2&amp;AO3</f>
        <v>A1</v>
      </c>
      <c r="AO3" s="94">
        <f>RANK(AZ3,$AZ$3:$AZ$6,1)</f>
        <v>1</v>
      </c>
      <c r="AP3" s="94" t="str">
        <f>Groepsloting!B2</f>
        <v>Mexico</v>
      </c>
      <c r="AQ3" s="95">
        <f>COUNTIF(AH$2:AH$98,AP3)+COUNTIF(AL$2:AL$98,AP3)</f>
        <v>0</v>
      </c>
      <c r="AR3" s="95">
        <f>AV3*3+AW3</f>
        <v>0</v>
      </c>
      <c r="AS3" s="95">
        <f>SUMIF($D$4:$D$9,AP3,$G$4:$G$9)+SUMIF($F$4:$F$9,AP3,$I$4:$I$9)</f>
        <v>0</v>
      </c>
      <c r="AT3" s="95">
        <f>SUMIF($D$4:$D$9,AP3,$I$4:$I$9)+SUMIF($F$4:$F$9,AP3,$G$4:$G$9)</f>
        <v>0</v>
      </c>
      <c r="AU3" s="95">
        <f>AS3-AT3</f>
        <v>0</v>
      </c>
      <c r="AV3" s="95">
        <f>SUMIF(AH$2:AH$98,AP3,AI$2:AI$98)+SUMIF(AL$2:AL$98,AP3,AJ$2:AJ$98)</f>
        <v>0</v>
      </c>
      <c r="AW3" s="95">
        <f>SUMIF(AH$2:AH$98,AP3,AK$2:AK$98)+SUMIF(AL$2:AL$98,AP3,AK$2:AK$98)</f>
        <v>0</v>
      </c>
      <c r="AX3" s="95">
        <f>AQ3-SUM(AV3:AW3)</f>
        <v>0</v>
      </c>
      <c r="AY3" s="95"/>
      <c r="AZ3" s="94">
        <f>RANK(AR3,$AR$3:$AR$6)+RANK(AU3,$AU$3:$AU$6)/10+RANK(AS3,$AS$3:$AS$6,0)/100+RANK(AQ3,$AQ$3:$AQ$6,1)/500+VLOOKUP(AP3,$BF$3:$BG$50,2,0)/10000</f>
        <v>1.1135000000000002</v>
      </c>
      <c r="BA3" s="151"/>
      <c r="BB3"/>
      <c r="BC3" s="94"/>
      <c r="BD3" s="94"/>
      <c r="BE3" t="str">
        <f>Groepsloting!B2</f>
        <v>Mexico</v>
      </c>
      <c r="BF3" s="214" t="str">
        <f>Groepsloting!B239</f>
        <v>Algerije</v>
      </c>
      <c r="BG3" s="152">
        <v>28</v>
      </c>
      <c r="BH3" s="96" t="s">
        <v>732</v>
      </c>
      <c r="BI3" s="4">
        <v>0</v>
      </c>
    </row>
    <row r="4" spans="1:61" s="90" customFormat="1" ht="14.25" customHeight="1" x14ac:dyDescent="0.2">
      <c r="A4" s="127">
        <v>1</v>
      </c>
      <c r="B4" s="141" t="s">
        <v>468</v>
      </c>
      <c r="C4" s="142">
        <v>0.875</v>
      </c>
      <c r="D4" s="60" t="str">
        <f>Groepsloting!B2</f>
        <v>Mexico</v>
      </c>
      <c r="E4" s="61" t="s">
        <v>5</v>
      </c>
      <c r="F4" s="60" t="str">
        <f>Groepsloting!B3</f>
        <v>Zuid-Afrika</v>
      </c>
      <c r="G4" s="17"/>
      <c r="H4" s="79" t="s">
        <v>5</v>
      </c>
      <c r="I4" s="17"/>
      <c r="J4" s="19">
        <f t="shared" ref="J4:J9" si="1">IF(AND(G4="",I4=""),0,IF(G4&gt;I4,1,IF(G4&lt;I4,2,3)))</f>
        <v>0</v>
      </c>
      <c r="K4" s="68"/>
      <c r="L4" s="156"/>
      <c r="M4" s="163" t="str">
        <f>Groepsloting!$B$166</f>
        <v>• Persoonlijke gegevens met * (zie hieronder)</v>
      </c>
      <c r="N4" s="67"/>
      <c r="O4" s="67"/>
      <c r="P4" s="67"/>
      <c r="Q4" s="67"/>
      <c r="R4" s="67"/>
      <c r="S4" s="67"/>
      <c r="T4" s="67"/>
      <c r="U4" s="67"/>
      <c r="V4" s="67"/>
      <c r="W4" s="68"/>
      <c r="X4" s="66"/>
      <c r="Y4" s="11">
        <v>2</v>
      </c>
      <c r="Z4" s="12" t="str">
        <f t="shared" ref="Z4:Z6" si="2">VLOOKUP($Y4,$AO$3:$AX$6,AP$1,0)</f>
        <v>Zuid-Korea</v>
      </c>
      <c r="AA4" s="12">
        <f t="shared" ref="AA4:AE6" si="3">VLOOKUP($Y4,$AO$3:$AX$6,AQ$1,0)</f>
        <v>0</v>
      </c>
      <c r="AB4" s="12">
        <f t="shared" si="3"/>
        <v>0</v>
      </c>
      <c r="AC4" s="12">
        <f t="shared" si="3"/>
        <v>0</v>
      </c>
      <c r="AD4" s="12">
        <f t="shared" si="3"/>
        <v>0</v>
      </c>
      <c r="AE4" s="12">
        <f t="shared" si="3"/>
        <v>0</v>
      </c>
      <c r="AF4" s="13"/>
      <c r="AG4" s="92"/>
      <c r="AH4" s="92" t="str">
        <f t="shared" ref="AH4:AH9" si="4">IF(G4="","",D4)</f>
        <v/>
      </c>
      <c r="AI4" s="92" t="str">
        <f>IF(Inschrijving!G4="","",IF(Inschrijving!G4&gt;Inschrijving!I4,1,0))</f>
        <v/>
      </c>
      <c r="AJ4" s="92" t="str">
        <f>IF(Inschrijving!G4="","",IF(Inschrijving!G4&lt;Inschrijving!I4,1,0))</f>
        <v/>
      </c>
      <c r="AK4" s="92" t="str">
        <f>IF(Inschrijving!G4="","",IF(Inschrijving!G4=Inschrijving!I4,1,0))</f>
        <v/>
      </c>
      <c r="AL4" s="92" t="str">
        <f t="shared" ref="AL4:AL9" si="5">IF(I4="","",F4)</f>
        <v/>
      </c>
      <c r="AM4" s="13"/>
      <c r="AN4" s="4" t="str">
        <f>AP2&amp;AO4</f>
        <v>A4</v>
      </c>
      <c r="AO4" s="94">
        <f>RANK(AZ4,$AZ$3:$AZ$6,1)</f>
        <v>4</v>
      </c>
      <c r="AP4" s="94" t="str">
        <f>Groepsloting!B3</f>
        <v>Zuid-Afrika</v>
      </c>
      <c r="AQ4" s="95">
        <f>COUNTIF(AH$2:AH$98,AP4)+COUNTIF(AL$2:AL$98,AP4)</f>
        <v>0</v>
      </c>
      <c r="AR4" s="95">
        <f>AV4*3+AW4</f>
        <v>0</v>
      </c>
      <c r="AS4" s="95">
        <f t="shared" ref="AS4:AS6" si="6">SUMIF($D$4:$D$9,AP4,$G$4:$G$9)+SUMIF($F$4:$F$9,AP4,$I$4:$I$9)</f>
        <v>0</v>
      </c>
      <c r="AT4" s="95">
        <f t="shared" ref="AT4:AT6" si="7">SUMIF($D$4:$D$9,AP4,$I$4:$I$9)+SUMIF($F$4:$F$9,AP4,$G$4:$G$9)</f>
        <v>0</v>
      </c>
      <c r="AU4" s="95">
        <f>AS4-AT4</f>
        <v>0</v>
      </c>
      <c r="AV4" s="95">
        <f>SUMIF(AH$2:AH$98,AP4,AI$2:AI$98)+SUMIF(AL$2:AL$98,AP4,AJ$2:AJ$98)</f>
        <v>0</v>
      </c>
      <c r="AW4" s="95">
        <f>SUMIF(AH$2:AH$98,AP4,AK$2:AK$98)+SUMIF(AL$2:AL$98,AP4,AK$2:AK$98)</f>
        <v>0</v>
      </c>
      <c r="AX4" s="95">
        <f>AQ4-SUM(AV4:AW4)</f>
        <v>0</v>
      </c>
      <c r="AY4" s="95"/>
      <c r="AZ4" s="94">
        <f t="shared" ref="AZ4:AZ6" si="8">RANK(AR4,$AR$3:$AR$6)+RANK(AU4,$AU$3:$AU$6)/10+RANK(AS4,$AS$3:$AS$6,0)/100+RANK(AQ4,$AQ$3:$AQ$6,1)/500+VLOOKUP(AP4,$BF$3:$BG$50,2,0)/10000</f>
        <v>1.1180000000000001</v>
      </c>
      <c r="BA4" s="151"/>
      <c r="BB4"/>
      <c r="BC4" s="94"/>
      <c r="BD4" s="94"/>
      <c r="BE4" t="str">
        <f>Groepsloting!B3</f>
        <v>Zuid-Afrika</v>
      </c>
      <c r="BF4" s="214" t="str">
        <f>Groepsloting!B240</f>
        <v>Argentinië</v>
      </c>
      <c r="BG4" s="152">
        <v>3</v>
      </c>
      <c r="BH4" s="96" t="s">
        <v>752</v>
      </c>
      <c r="BI4" s="4">
        <v>1</v>
      </c>
    </row>
    <row r="5" spans="1:61" s="90" customFormat="1" ht="14.25" customHeight="1" x14ac:dyDescent="0.2">
      <c r="A5" s="127">
        <v>2</v>
      </c>
      <c r="B5" s="141" t="s">
        <v>469</v>
      </c>
      <c r="C5" s="142">
        <v>0.16666666666666666</v>
      </c>
      <c r="D5" s="60" t="str">
        <f>Groepsloting!B4</f>
        <v>Zuid-Korea</v>
      </c>
      <c r="E5" s="61" t="s">
        <v>5</v>
      </c>
      <c r="F5" s="193" t="str">
        <f>Groepsloting!B5</f>
        <v>Tsjechië</v>
      </c>
      <c r="G5" s="17"/>
      <c r="H5" s="79" t="s">
        <v>5</v>
      </c>
      <c r="I5" s="17"/>
      <c r="J5" s="19">
        <f t="shared" si="1"/>
        <v>0</v>
      </c>
      <c r="K5" s="87"/>
      <c r="L5" s="156"/>
      <c r="M5" s="163" t="str">
        <f>Groepsloting!$B$167</f>
        <v>• Uitslagen wedstrijden (invulformulier)</v>
      </c>
      <c r="N5" s="67"/>
      <c r="O5" s="67"/>
      <c r="P5" s="67"/>
      <c r="Q5" s="67"/>
      <c r="R5" s="67"/>
      <c r="S5" s="67"/>
      <c r="T5" s="67"/>
      <c r="U5" s="67"/>
      <c r="V5" s="67"/>
      <c r="W5" s="68"/>
      <c r="X5" s="66"/>
      <c r="Y5" s="11">
        <v>3</v>
      </c>
      <c r="Z5" s="12" t="str">
        <f t="shared" si="2"/>
        <v>Tsjechië</v>
      </c>
      <c r="AA5" s="12">
        <f t="shared" si="3"/>
        <v>0</v>
      </c>
      <c r="AB5" s="12">
        <f t="shared" si="3"/>
        <v>0</v>
      </c>
      <c r="AC5" s="12">
        <f t="shared" si="3"/>
        <v>0</v>
      </c>
      <c r="AD5" s="12">
        <f t="shared" si="3"/>
        <v>0</v>
      </c>
      <c r="AE5" s="12">
        <f t="shared" si="3"/>
        <v>0</v>
      </c>
      <c r="AF5" s="13"/>
      <c r="AG5" s="92"/>
      <c r="AH5" s="92" t="str">
        <f t="shared" si="4"/>
        <v/>
      </c>
      <c r="AI5" s="92" t="str">
        <f>IF(Inschrijving!G5="","",IF(Inschrijving!G5&gt;Inschrijving!I5,1,0))</f>
        <v/>
      </c>
      <c r="AJ5" s="92" t="str">
        <f>IF(Inschrijving!G5="","",IF(Inschrijving!G5&lt;Inschrijving!I5,1,0))</f>
        <v/>
      </c>
      <c r="AK5" s="92" t="str">
        <f>IF(Inschrijving!G5="","",IF(Inschrijving!G5=Inschrijving!I5,1,0))</f>
        <v/>
      </c>
      <c r="AL5" s="92" t="str">
        <f t="shared" si="5"/>
        <v/>
      </c>
      <c r="AM5" s="13"/>
      <c r="AN5" s="4" t="str">
        <f>AP2&amp;AO5</f>
        <v>A2</v>
      </c>
      <c r="AO5" s="94">
        <f>RANK(AZ5,$AZ$3:$AZ$6,1)</f>
        <v>2</v>
      </c>
      <c r="AP5" s="94" t="str">
        <f>Groepsloting!B4</f>
        <v>Zuid-Korea</v>
      </c>
      <c r="AQ5" s="95">
        <f>COUNTIF(AH$2:AH$98,AP5)+COUNTIF(AL$2:AL$98,AP5)</f>
        <v>0</v>
      </c>
      <c r="AR5" s="95">
        <f>AV5*3+AW5</f>
        <v>0</v>
      </c>
      <c r="AS5" s="95">
        <f t="shared" si="6"/>
        <v>0</v>
      </c>
      <c r="AT5" s="95">
        <f t="shared" si="7"/>
        <v>0</v>
      </c>
      <c r="AU5" s="95">
        <f>AS5-AT5</f>
        <v>0</v>
      </c>
      <c r="AV5" s="95">
        <f>SUMIF(AH$2:AH$98,AP5,AI$2:AI$98)+SUMIF(AL$2:AL$98,AP5,AJ$2:AJ$98)</f>
        <v>0</v>
      </c>
      <c r="AW5" s="95">
        <f>SUMIF(AH$2:AH$98,AP5,AK$2:AK$98)+SUMIF(AL$2:AL$98,AP5,AK$2:AK$98)</f>
        <v>0</v>
      </c>
      <c r="AX5" s="95">
        <f>AQ5-SUM(AV5:AW5)</f>
        <v>0</v>
      </c>
      <c r="AY5" s="95"/>
      <c r="AZ5" s="94">
        <f t="shared" si="8"/>
        <v>1.1145</v>
      </c>
      <c r="BA5" s="151"/>
      <c r="BB5"/>
      <c r="BC5" s="94"/>
      <c r="BD5" s="94"/>
      <c r="BE5" t="str">
        <f>Groepsloting!B4</f>
        <v>Zuid-Korea</v>
      </c>
      <c r="BF5" s="214" t="str">
        <f>Groepsloting!B241</f>
        <v>Australië</v>
      </c>
      <c r="BG5" s="152">
        <v>27</v>
      </c>
      <c r="BH5" s="96" t="s">
        <v>733</v>
      </c>
      <c r="BI5" s="4">
        <v>2</v>
      </c>
    </row>
    <row r="6" spans="1:61" s="90" customFormat="1" ht="14.25" customHeight="1" x14ac:dyDescent="0.2">
      <c r="A6" s="127">
        <v>25</v>
      </c>
      <c r="B6" s="141" t="s">
        <v>470</v>
      </c>
      <c r="C6" s="142">
        <v>0.75</v>
      </c>
      <c r="D6" s="60" t="str">
        <f>F5</f>
        <v>Tsjechië</v>
      </c>
      <c r="E6" s="61" t="s">
        <v>5</v>
      </c>
      <c r="F6" s="60" t="str">
        <f>F4</f>
        <v>Zuid-Afrika</v>
      </c>
      <c r="G6" s="17"/>
      <c r="H6" s="79" t="s">
        <v>5</v>
      </c>
      <c r="I6" s="17"/>
      <c r="J6" s="19">
        <f t="shared" si="1"/>
        <v>0</v>
      </c>
      <c r="K6" s="87"/>
      <c r="L6" s="156"/>
      <c r="M6" s="163" t="str">
        <f>Groepsloting!$B$168</f>
        <v>• Detailvragen (zie hieronder)</v>
      </c>
      <c r="N6" s="67"/>
      <c r="O6" s="67"/>
      <c r="P6" s="67"/>
      <c r="Q6" s="67"/>
      <c r="R6" s="67"/>
      <c r="S6" s="67"/>
      <c r="T6" s="67"/>
      <c r="U6" s="67"/>
      <c r="V6" s="67"/>
      <c r="W6" s="68"/>
      <c r="X6" s="66"/>
      <c r="Y6" s="11">
        <v>4</v>
      </c>
      <c r="Z6" s="12" t="str">
        <f t="shared" si="2"/>
        <v>Zuid-Afrika</v>
      </c>
      <c r="AA6" s="12">
        <f t="shared" si="3"/>
        <v>0</v>
      </c>
      <c r="AB6" s="12">
        <f t="shared" si="3"/>
        <v>0</v>
      </c>
      <c r="AC6" s="12">
        <f t="shared" si="3"/>
        <v>0</v>
      </c>
      <c r="AD6" s="12">
        <f t="shared" si="3"/>
        <v>0</v>
      </c>
      <c r="AE6" s="12">
        <f t="shared" si="3"/>
        <v>0</v>
      </c>
      <c r="AF6" s="13"/>
      <c r="AG6" s="92"/>
      <c r="AH6" s="92" t="str">
        <f t="shared" si="4"/>
        <v/>
      </c>
      <c r="AI6" s="92" t="str">
        <f>IF(Inschrijving!G6="","",IF(Inschrijving!G6&gt;Inschrijving!I6,1,0))</f>
        <v/>
      </c>
      <c r="AJ6" s="92" t="str">
        <f>IF(Inschrijving!G6="","",IF(Inschrijving!G6&lt;Inschrijving!I6,1,0))</f>
        <v/>
      </c>
      <c r="AK6" s="92" t="str">
        <f>IF(Inschrijving!G6="","",IF(Inschrijving!G6=Inschrijving!I6,1,0))</f>
        <v/>
      </c>
      <c r="AL6" s="92" t="str">
        <f t="shared" si="5"/>
        <v/>
      </c>
      <c r="AM6" s="13"/>
      <c r="AN6" s="4" t="str">
        <f>AP2&amp;AO6</f>
        <v>A3</v>
      </c>
      <c r="AO6" s="94">
        <f>RANK(AZ6,$AZ$3:$AZ$6,1)</f>
        <v>3</v>
      </c>
      <c r="AP6" s="94" t="str">
        <f>Groepsloting!B5</f>
        <v>Tsjechië</v>
      </c>
      <c r="AQ6" s="95">
        <f>COUNTIF(AH$2:AH$98,AP6)+COUNTIF(AL$2:AL$98,AP6)</f>
        <v>0</v>
      </c>
      <c r="AR6" s="95">
        <f>AV6*3+AW6</f>
        <v>0</v>
      </c>
      <c r="AS6" s="95">
        <f t="shared" si="6"/>
        <v>0</v>
      </c>
      <c r="AT6" s="95">
        <f t="shared" si="7"/>
        <v>0</v>
      </c>
      <c r="AU6" s="95">
        <f>AS6-AT6</f>
        <v>0</v>
      </c>
      <c r="AV6" s="95">
        <f>SUMIF(AH$2:AH$98,AP6,AI$2:AI$98)+SUMIF(AL$2:AL$98,AP6,AJ$2:AJ$98)</f>
        <v>0</v>
      </c>
      <c r="AW6" s="95">
        <f>SUMIF(AH$2:AH$98,AP6,AK$2:AK$98)+SUMIF(AL$2:AL$98,AP6,AK$2:AK$98)</f>
        <v>0</v>
      </c>
      <c r="AX6" s="95">
        <f>AQ6-SUM(AV6:AW6)</f>
        <v>0</v>
      </c>
      <c r="AY6" s="95"/>
      <c r="AZ6" s="94">
        <f t="shared" si="8"/>
        <v>1.1161000000000001</v>
      </c>
      <c r="BA6" s="151"/>
      <c r="BB6"/>
      <c r="BC6" s="94"/>
      <c r="BD6" s="94"/>
      <c r="BE6" t="str">
        <f>Groepsloting!B5</f>
        <v>Tsjechië</v>
      </c>
      <c r="BF6" s="214" t="str">
        <f>Groepsloting!B242</f>
        <v>België</v>
      </c>
      <c r="BG6" s="152">
        <v>9</v>
      </c>
      <c r="BH6" s="96" t="s">
        <v>401</v>
      </c>
      <c r="BI6" s="4">
        <v>3</v>
      </c>
    </row>
    <row r="7" spans="1:61" s="90" customFormat="1" ht="14.25" customHeight="1" x14ac:dyDescent="0.2">
      <c r="A7" s="127">
        <v>28</v>
      </c>
      <c r="B7" s="141" t="s">
        <v>471</v>
      </c>
      <c r="C7" s="142">
        <v>0.125</v>
      </c>
      <c r="D7" s="60" t="str">
        <f>D4</f>
        <v>Mexico</v>
      </c>
      <c r="E7" s="61" t="s">
        <v>5</v>
      </c>
      <c r="F7" s="60" t="str">
        <f>D5</f>
        <v>Zuid-Korea</v>
      </c>
      <c r="G7" s="17"/>
      <c r="H7" s="79" t="s">
        <v>5</v>
      </c>
      <c r="I7" s="17"/>
      <c r="J7" s="19">
        <f t="shared" si="1"/>
        <v>0</v>
      </c>
      <c r="K7" s="68"/>
      <c r="L7" s="156"/>
      <c r="M7" s="160"/>
      <c r="N7" s="160"/>
      <c r="O7" s="160"/>
      <c r="P7" s="160"/>
      <c r="Q7" s="160"/>
      <c r="R7" s="160"/>
      <c r="S7" s="160"/>
      <c r="T7" s="160"/>
      <c r="U7" s="160"/>
      <c r="V7" s="160"/>
      <c r="W7" s="68"/>
      <c r="X7" s="66"/>
      <c r="Y7" s="4"/>
      <c r="Z7" s="9"/>
      <c r="AA7" s="4"/>
      <c r="AB7" s="14"/>
      <c r="AC7" s="4"/>
      <c r="AD7" s="4"/>
      <c r="AE7" s="4"/>
      <c r="AF7" s="13"/>
      <c r="AG7" s="92"/>
      <c r="AH7" s="92" t="str">
        <f t="shared" si="4"/>
        <v/>
      </c>
      <c r="AI7" s="92" t="str">
        <f>IF(Inschrijving!G7="","",IF(Inschrijving!G7&gt;Inschrijving!I7,1,0))</f>
        <v/>
      </c>
      <c r="AJ7" s="92" t="str">
        <f>IF(Inschrijving!G7="","",IF(Inschrijving!G7&lt;Inschrijving!I7,1,0))</f>
        <v/>
      </c>
      <c r="AK7" s="92" t="str">
        <f>IF(Inschrijving!G7="","",IF(Inschrijving!G7=Inschrijving!I7,1,0))</f>
        <v/>
      </c>
      <c r="AL7" s="92" t="str">
        <f t="shared" si="5"/>
        <v/>
      </c>
      <c r="AM7" s="13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/>
      <c r="BC7"/>
      <c r="BD7" s="4"/>
      <c r="BE7"/>
      <c r="BF7" s="214" t="str">
        <f>Groepsloting!B257</f>
        <v>Bosnië-Herzegovina</v>
      </c>
      <c r="BG7" s="152">
        <v>65</v>
      </c>
      <c r="BH7" s="96" t="s">
        <v>402</v>
      </c>
      <c r="BI7" s="4">
        <v>4</v>
      </c>
    </row>
    <row r="8" spans="1:61" s="90" customFormat="1" ht="14.25" customHeight="1" x14ac:dyDescent="0.25">
      <c r="A8" s="127">
        <v>53</v>
      </c>
      <c r="B8" s="141" t="s">
        <v>472</v>
      </c>
      <c r="C8" s="142">
        <v>0.125</v>
      </c>
      <c r="D8" s="60" t="str">
        <f>D6</f>
        <v>Tsjechië</v>
      </c>
      <c r="E8" s="61" t="s">
        <v>5</v>
      </c>
      <c r="F8" s="60" t="str">
        <f>D4</f>
        <v>Mexico</v>
      </c>
      <c r="G8" s="17"/>
      <c r="H8" s="79" t="s">
        <v>5</v>
      </c>
      <c r="I8" s="17"/>
      <c r="J8" s="19">
        <f t="shared" si="1"/>
        <v>0</v>
      </c>
      <c r="K8" s="68"/>
      <c r="L8" s="156"/>
      <c r="M8" s="239" t="str">
        <f>Groepsloting!$B$169</f>
        <v>Persoonlijke gegevens</v>
      </c>
      <c r="N8" s="239"/>
      <c r="O8" s="239"/>
      <c r="P8" s="239"/>
      <c r="Q8" s="239"/>
      <c r="R8" s="239"/>
      <c r="S8" s="239"/>
      <c r="T8" s="239"/>
      <c r="U8" s="239"/>
      <c r="V8" s="239"/>
      <c r="W8" s="68"/>
      <c r="X8" s="66"/>
      <c r="Y8" s="15"/>
      <c r="Z8" s="15" t="s">
        <v>6</v>
      </c>
      <c r="AA8" s="16" t="s">
        <v>19</v>
      </c>
      <c r="AB8" s="16" t="s">
        <v>20</v>
      </c>
      <c r="AC8" s="16" t="s">
        <v>21</v>
      </c>
      <c r="AD8" s="16" t="s">
        <v>22</v>
      </c>
      <c r="AE8" s="16" t="s">
        <v>23</v>
      </c>
      <c r="AF8" s="13"/>
      <c r="AG8" s="92"/>
      <c r="AH8" s="92" t="str">
        <f t="shared" si="4"/>
        <v/>
      </c>
      <c r="AI8" s="92" t="str">
        <f>IF(Inschrijving!G8="","",IF(Inschrijving!G8&gt;Inschrijving!I8,1,0))</f>
        <v/>
      </c>
      <c r="AJ8" s="92" t="str">
        <f>IF(Inschrijving!G8="","",IF(Inschrijving!G8&lt;Inschrijving!I8,1,0))</f>
        <v/>
      </c>
      <c r="AK8" s="92" t="str">
        <f>IF(Inschrijving!G8="","",IF(Inschrijving!G8=Inschrijving!I8,1,0))</f>
        <v/>
      </c>
      <c r="AL8" s="92" t="str">
        <f t="shared" si="5"/>
        <v/>
      </c>
      <c r="AM8" s="13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/>
      <c r="BC8"/>
      <c r="BD8" s="4"/>
      <c r="BE8" s="91" t="str">
        <f>Groepsloting!B7</f>
        <v>Groep B</v>
      </c>
      <c r="BF8" s="214" t="str">
        <f>Groepsloting!B244</f>
        <v>Brazilië</v>
      </c>
      <c r="BG8" s="152">
        <v>6</v>
      </c>
      <c r="BH8" s="96" t="s">
        <v>403</v>
      </c>
      <c r="BI8" s="4">
        <v>5</v>
      </c>
    </row>
    <row r="9" spans="1:61" s="90" customFormat="1" ht="14.25" customHeight="1" x14ac:dyDescent="0.2">
      <c r="A9" s="127">
        <v>54</v>
      </c>
      <c r="B9" s="141" t="s">
        <v>472</v>
      </c>
      <c r="C9" s="142">
        <v>0.125</v>
      </c>
      <c r="D9" s="60" t="str">
        <f>F4</f>
        <v>Zuid-Afrika</v>
      </c>
      <c r="E9" s="61" t="s">
        <v>5</v>
      </c>
      <c r="F9" s="60" t="str">
        <f>D5</f>
        <v>Zuid-Korea</v>
      </c>
      <c r="G9" s="17"/>
      <c r="H9" s="79" t="s">
        <v>5</v>
      </c>
      <c r="I9" s="17"/>
      <c r="J9" s="19">
        <f t="shared" si="1"/>
        <v>0</v>
      </c>
      <c r="K9" s="68"/>
      <c r="L9" s="156"/>
      <c r="M9" s="242"/>
      <c r="N9" s="242"/>
      <c r="O9" s="242"/>
      <c r="P9" s="242"/>
      <c r="Q9" s="242"/>
      <c r="R9" s="242"/>
      <c r="S9" s="242"/>
      <c r="T9" s="242"/>
      <c r="U9" s="242"/>
      <c r="V9" s="242"/>
      <c r="W9" s="68"/>
      <c r="X9" s="66"/>
      <c r="Y9" s="11">
        <v>1</v>
      </c>
      <c r="Z9" s="12" t="str">
        <f t="shared" ref="Z9:AE9" si="9">VLOOKUP($Y9,$AO$11:$AX$14,AP$1,0)</f>
        <v>Zwitserland</v>
      </c>
      <c r="AA9" s="12">
        <f t="shared" si="9"/>
        <v>0</v>
      </c>
      <c r="AB9" s="12">
        <f t="shared" si="9"/>
        <v>0</v>
      </c>
      <c r="AC9" s="12">
        <f t="shared" si="9"/>
        <v>0</v>
      </c>
      <c r="AD9" s="12">
        <f t="shared" si="9"/>
        <v>0</v>
      </c>
      <c r="AE9" s="12">
        <f t="shared" si="9"/>
        <v>0</v>
      </c>
      <c r="AF9" s="13"/>
      <c r="AG9" s="92"/>
      <c r="AH9" s="92" t="str">
        <f t="shared" si="4"/>
        <v/>
      </c>
      <c r="AI9" s="92" t="str">
        <f>IF(Inschrijving!G9="","",IF(Inschrijving!G9&gt;Inschrijving!I9,1,0))</f>
        <v/>
      </c>
      <c r="AJ9" s="92" t="str">
        <f>IF(Inschrijving!G9="","",IF(Inschrijving!G9&lt;Inschrijving!I9,1,0))</f>
        <v/>
      </c>
      <c r="AK9" s="92" t="str">
        <f>IF(Inschrijving!G9="","",IF(Inschrijving!G9=Inschrijving!I9,1,0))</f>
        <v/>
      </c>
      <c r="AL9" s="92" t="str">
        <f t="shared" si="5"/>
        <v/>
      </c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/>
      <c r="BC9"/>
      <c r="BD9" s="4"/>
      <c r="BE9" t="str">
        <f>Groepsloting!B8</f>
        <v>Canada</v>
      </c>
      <c r="BF9" s="214" t="str">
        <f>Groepsloting!B245</f>
        <v>Canada</v>
      </c>
      <c r="BG9" s="152">
        <v>30</v>
      </c>
      <c r="BH9" s="96" t="s">
        <v>734</v>
      </c>
      <c r="BI9" s="4">
        <v>6</v>
      </c>
    </row>
    <row r="10" spans="1:61" s="90" customFormat="1" ht="14.25" customHeight="1" x14ac:dyDescent="0.2">
      <c r="A10" s="127"/>
      <c r="B10" s="178"/>
      <c r="C10" s="179"/>
      <c r="D10" s="20"/>
      <c r="E10" s="20"/>
      <c r="F10" s="20"/>
      <c r="G10" s="180"/>
      <c r="H10" s="181"/>
      <c r="I10" s="180"/>
      <c r="J10" s="182"/>
      <c r="K10" s="68"/>
      <c r="L10" s="156"/>
      <c r="M10" s="163" t="str">
        <f>Groepsloting!$B$170</f>
        <v xml:space="preserve">Teamnaam*: </v>
      </c>
      <c r="N10" s="236"/>
      <c r="O10" s="237"/>
      <c r="P10" s="237"/>
      <c r="Q10" s="237"/>
      <c r="R10" s="237"/>
      <c r="S10" s="237"/>
      <c r="T10" s="237"/>
      <c r="U10" s="237"/>
      <c r="V10" s="238"/>
      <c r="W10" s="68"/>
      <c r="X10" s="66"/>
      <c r="Y10" s="11">
        <v>2</v>
      </c>
      <c r="Z10" s="12" t="str">
        <f t="shared" ref="Z10:Z12" si="10">VLOOKUP($Y10,$AO$11:$AX$14,AP$1,0)</f>
        <v>Canada</v>
      </c>
      <c r="AA10" s="12">
        <f t="shared" ref="AA10:AA12" si="11">VLOOKUP($Y10,$AO$11:$AX$14,AQ$1,0)</f>
        <v>0</v>
      </c>
      <c r="AB10" s="12">
        <f t="shared" ref="AB10:AB12" si="12">VLOOKUP($Y10,$AO$11:$AX$14,AR$1,0)</f>
        <v>0</v>
      </c>
      <c r="AC10" s="12">
        <f t="shared" ref="AC10:AC12" si="13">VLOOKUP($Y10,$AO$11:$AX$14,AS$1,0)</f>
        <v>0</v>
      </c>
      <c r="AD10" s="12">
        <f t="shared" ref="AD10:AD12" si="14">VLOOKUP($Y10,$AO$11:$AX$14,AT$1,0)</f>
        <v>0</v>
      </c>
      <c r="AE10" s="12">
        <f t="shared" ref="AE10:AE12" si="15">VLOOKUP($Y10,$AO$11:$AX$14,AU$1,0)</f>
        <v>0</v>
      </c>
      <c r="AF10" s="13"/>
      <c r="AG10" s="92"/>
      <c r="AH10" s="92"/>
      <c r="AI10" s="92"/>
      <c r="AJ10" s="92"/>
      <c r="AK10" s="92"/>
      <c r="AL10" s="92"/>
      <c r="AM10" s="4"/>
      <c r="AN10" s="4"/>
      <c r="AO10" s="94"/>
      <c r="AP10" s="94" t="s">
        <v>70</v>
      </c>
      <c r="AQ10" s="95" t="s">
        <v>61</v>
      </c>
      <c r="AR10" s="95" t="s">
        <v>68</v>
      </c>
      <c r="AS10" s="95" t="s">
        <v>65</v>
      </c>
      <c r="AT10" s="95" t="s">
        <v>66</v>
      </c>
      <c r="AU10" s="95" t="s">
        <v>67</v>
      </c>
      <c r="AV10" s="95" t="s">
        <v>62</v>
      </c>
      <c r="AW10" s="95" t="s">
        <v>63</v>
      </c>
      <c r="AX10" s="95" t="s">
        <v>64</v>
      </c>
      <c r="AY10" s="95"/>
      <c r="AZ10" s="94"/>
      <c r="BA10" s="94"/>
      <c r="BB10"/>
      <c r="BC10"/>
      <c r="BD10" s="94"/>
      <c r="BE10" t="str">
        <f>Groepsloting!B9</f>
        <v>Qatar</v>
      </c>
      <c r="BF10" s="214" t="str">
        <f>Groepsloting!B246</f>
        <v>Colombia</v>
      </c>
      <c r="BG10" s="152">
        <v>13</v>
      </c>
      <c r="BH10" s="96" t="s">
        <v>735</v>
      </c>
      <c r="BI10" s="4">
        <v>7</v>
      </c>
    </row>
    <row r="11" spans="1:61" s="90" customFormat="1" ht="14.25" customHeight="1" x14ac:dyDescent="0.2">
      <c r="A11" s="127"/>
      <c r="B11" s="57" t="str">
        <f>Groepsloting!$B7</f>
        <v>Groep B</v>
      </c>
      <c r="C11" s="131"/>
      <c r="D11" s="58" t="str">
        <f>Groepsloting!$B$119</f>
        <v>Wedstrijd</v>
      </c>
      <c r="E11" s="59"/>
      <c r="F11" s="58"/>
      <c r="G11" s="58"/>
      <c r="H11" s="192" t="str">
        <f>Groepsloting!$B$120</f>
        <v>Uitslag</v>
      </c>
      <c r="I11" s="58"/>
      <c r="J11" s="64" t="str">
        <f>Groepsloting!$B$121</f>
        <v>Toto</v>
      </c>
      <c r="K11" s="68"/>
      <c r="L11" s="156"/>
      <c r="M11" s="163" t="str">
        <f>Groepsloting!$B$172</f>
        <v xml:space="preserve">Voornaam*: </v>
      </c>
      <c r="N11" s="236"/>
      <c r="O11" s="237"/>
      <c r="P11" s="237"/>
      <c r="Q11" s="237"/>
      <c r="R11" s="237"/>
      <c r="S11" s="237"/>
      <c r="T11" s="237"/>
      <c r="U11" s="237"/>
      <c r="V11" s="238"/>
      <c r="W11" s="68"/>
      <c r="X11" s="66"/>
      <c r="Y11" s="11">
        <v>3</v>
      </c>
      <c r="Z11" s="12" t="str">
        <f t="shared" si="10"/>
        <v>Qatar</v>
      </c>
      <c r="AA11" s="12">
        <f t="shared" si="11"/>
        <v>0</v>
      </c>
      <c r="AB11" s="12">
        <f t="shared" si="12"/>
        <v>0</v>
      </c>
      <c r="AC11" s="12">
        <f t="shared" si="13"/>
        <v>0</v>
      </c>
      <c r="AD11" s="12">
        <f t="shared" si="14"/>
        <v>0</v>
      </c>
      <c r="AE11" s="12">
        <f t="shared" si="15"/>
        <v>0</v>
      </c>
      <c r="AF11" s="13"/>
      <c r="AG11" s="92" t="s">
        <v>70</v>
      </c>
      <c r="AH11" s="93" t="s">
        <v>57</v>
      </c>
      <c r="AI11" s="93"/>
      <c r="AJ11" s="93"/>
      <c r="AK11" s="93"/>
      <c r="AL11" s="93" t="s">
        <v>59</v>
      </c>
      <c r="AM11" s="4"/>
      <c r="AN11" s="4" t="str">
        <f>AP10&amp;AO11</f>
        <v>B2</v>
      </c>
      <c r="AO11" s="94">
        <f>RANK(AZ11,$AZ$11:$AZ$14,1)</f>
        <v>2</v>
      </c>
      <c r="AP11" s="94" t="str">
        <f>Groepsloting!B8</f>
        <v>Canada</v>
      </c>
      <c r="AQ11" s="95">
        <f>COUNTIF(AH$2:AH$98,AP11)+COUNTIF(AL$2:AL$98,AP11)</f>
        <v>0</v>
      </c>
      <c r="AR11" s="95">
        <f>AV11*3+AW11</f>
        <v>0</v>
      </c>
      <c r="AS11" s="95">
        <f>SUMIF($D$12:$D$17,AP11,$G$12:$G$17)+SUMIF($F$12:$F$17,AP11,$I$12:$I$17)</f>
        <v>0</v>
      </c>
      <c r="AT11" s="95">
        <f>SUMIF($D$12:$D$17,AP11,$I$12:$I$17)+SUMIF($F$12:$F$17,AP11,$G$12:$G$17)</f>
        <v>0</v>
      </c>
      <c r="AU11" s="95">
        <f>AS11-AT11</f>
        <v>0</v>
      </c>
      <c r="AV11" s="95">
        <f>SUMIF(AH$2:AH$98,AP11,AI$2:AI$98)+SUMIF(AL$2:AL$98,AP11,AJ$2:AJ$98)</f>
        <v>0</v>
      </c>
      <c r="AW11" s="95">
        <f>SUMIF(AH$2:AH$98,AP11,AK$2:AK$98)+SUMIF(AL$2:AL$98,AP11,AK$2:AK$98)</f>
        <v>0</v>
      </c>
      <c r="AX11" s="95">
        <f>AQ11-SUM(AV11:AW11)</f>
        <v>0</v>
      </c>
      <c r="AY11" s="95"/>
      <c r="AZ11" s="94">
        <f>RANK(AR11,$AR$11:$AR$14)+RANK(AU11,$AU$11:$AU$14)/10+RANK(AS11,$AS$11:$AS$14,0)/100+RANK(AQ11,$AQ$11:$AQ$14,1)/500+VLOOKUP(AP11,$BF$3:$BG$50,2,0)/10000</f>
        <v>1.115</v>
      </c>
      <c r="BA11" s="151"/>
      <c r="BB11"/>
      <c r="BC11" s="94"/>
      <c r="BD11" s="94"/>
      <c r="BE11" t="str">
        <f>Groepsloting!B10</f>
        <v>Zwitserland</v>
      </c>
      <c r="BF11" s="214" t="str">
        <f>Groepsloting!B265</f>
        <v>Congo</v>
      </c>
      <c r="BG11" s="152">
        <v>46</v>
      </c>
      <c r="BH11" s="96" t="s">
        <v>753</v>
      </c>
      <c r="BI11" s="4">
        <v>8</v>
      </c>
    </row>
    <row r="12" spans="1:61" s="90" customFormat="1" ht="14.25" customHeight="1" x14ac:dyDescent="0.2">
      <c r="A12" s="127">
        <v>3</v>
      </c>
      <c r="B12" s="143" t="s">
        <v>469</v>
      </c>
      <c r="C12" s="142">
        <v>0.875</v>
      </c>
      <c r="D12" s="60" t="str">
        <f>Groepsloting!B8</f>
        <v>Canada</v>
      </c>
      <c r="E12" s="61" t="s">
        <v>5</v>
      </c>
      <c r="F12" s="60" t="str">
        <f>Groepsloting!B11</f>
        <v>Bosnië-Herzegovina</v>
      </c>
      <c r="G12" s="17"/>
      <c r="H12" s="79" t="s">
        <v>5</v>
      </c>
      <c r="I12" s="17"/>
      <c r="J12" s="19">
        <f t="shared" ref="J12:J17" si="16">IF(AND(G12="",I12=""),0,IF(G12&gt;I12,1,IF(G12&lt;I12,2,3)))</f>
        <v>0</v>
      </c>
      <c r="K12" s="68"/>
      <c r="L12" s="156"/>
      <c r="M12" s="163" t="str">
        <f>Groepsloting!$B$173</f>
        <v>Tussenvoegsel*:</v>
      </c>
      <c r="N12" s="236"/>
      <c r="O12" s="237"/>
      <c r="P12" s="237"/>
      <c r="Q12" s="237"/>
      <c r="R12" s="237"/>
      <c r="S12" s="237"/>
      <c r="T12" s="237"/>
      <c r="U12" s="237"/>
      <c r="V12" s="238"/>
      <c r="W12" s="68"/>
      <c r="X12" s="66"/>
      <c r="Y12" s="11">
        <v>4</v>
      </c>
      <c r="Z12" s="12" t="str">
        <f t="shared" si="10"/>
        <v>Bosnië-Herzegovina</v>
      </c>
      <c r="AA12" s="12">
        <f t="shared" si="11"/>
        <v>0</v>
      </c>
      <c r="AB12" s="12">
        <f t="shared" si="12"/>
        <v>0</v>
      </c>
      <c r="AC12" s="12">
        <f t="shared" si="13"/>
        <v>0</v>
      </c>
      <c r="AD12" s="12">
        <f t="shared" si="14"/>
        <v>0</v>
      </c>
      <c r="AE12" s="12">
        <f t="shared" si="15"/>
        <v>0</v>
      </c>
      <c r="AF12" s="13"/>
      <c r="AG12" s="92"/>
      <c r="AH12" s="92" t="str">
        <f>IF(Inschrijving!G12="","",Inschrijving!D12)</f>
        <v/>
      </c>
      <c r="AI12" s="92" t="str">
        <f>IF(Inschrijving!G12="","",IF(Inschrijving!G12&gt;Inschrijving!I12,1,0))</f>
        <v/>
      </c>
      <c r="AJ12" s="92" t="str">
        <f>IF(Inschrijving!G12="","",IF(Inschrijving!G12&lt;Inschrijving!I12,1,0))</f>
        <v/>
      </c>
      <c r="AK12" s="92" t="str">
        <f>IF(Inschrijving!G12="","",IF(Inschrijving!G12=Inschrijving!I12,1,0))</f>
        <v/>
      </c>
      <c r="AL12" s="92" t="str">
        <f t="shared" ref="AL12:AL17" si="17">IF(I12="","",F12)</f>
        <v/>
      </c>
      <c r="AM12" s="4"/>
      <c r="AN12" s="4" t="str">
        <f>AP10&amp;AO12</f>
        <v>B3</v>
      </c>
      <c r="AO12" s="94">
        <f>RANK(AZ12,$AZ$11:$AZ$14,1)</f>
        <v>3</v>
      </c>
      <c r="AP12" s="94" t="str">
        <f>Groepsloting!B9</f>
        <v>Qatar</v>
      </c>
      <c r="AQ12" s="95">
        <f>COUNTIF(AH$2:AH$98,AP12)+COUNTIF(AL$2:AL$98,AP12)</f>
        <v>0</v>
      </c>
      <c r="AR12" s="95">
        <f t="shared" ref="AR12:AR14" si="18">AV12*3+AW12</f>
        <v>0</v>
      </c>
      <c r="AS12" s="95">
        <f t="shared" ref="AS12:AS14" si="19">SUMIF($D$12:$D$17,AP12,$G$12:$G$17)+SUMIF($F$12:$F$17,AP12,$I$12:$I$17)</f>
        <v>0</v>
      </c>
      <c r="AT12" s="95">
        <f t="shared" ref="AT12:AT14" si="20">SUMIF($D$12:$D$17,AP12,$I$12:$I$17)+SUMIF($F$12:$F$17,AP12,$G$12:$G$17)</f>
        <v>0</v>
      </c>
      <c r="AU12" s="95">
        <f t="shared" ref="AU12:AU14" si="21">AS12-AT12</f>
        <v>0</v>
      </c>
      <c r="AV12" s="95">
        <f>SUMIF(AH$2:AH$98,AP12,AI$2:AI$98)+SUMIF(AL$2:AL$98,AP12,AJ$2:AJ$98)</f>
        <v>0</v>
      </c>
      <c r="AW12" s="95">
        <f>SUMIF(AH$2:AH$98,AP12,AK$2:AK$98)+SUMIF(AL$2:AL$98,AP12,AK$2:AK$98)</f>
        <v>0</v>
      </c>
      <c r="AX12" s="95">
        <f t="shared" ref="AX12:AX14" si="22">AQ12-SUM(AV12:AW12)</f>
        <v>0</v>
      </c>
      <c r="AY12" s="95"/>
      <c r="AZ12" s="94">
        <f t="shared" ref="AZ12:AZ14" si="23">RANK(AR12,$AR$11:$AR$14)+RANK(AU12,$AU$11:$AU$14)/10+RANK(AS12,$AS$11:$AS$14,0)/100+RANK(AQ12,$AQ$11:$AQ$14,1)/500+VLOOKUP(AP12,$BF$3:$BG$50,2,0)/10000</f>
        <v>1.1175000000000002</v>
      </c>
      <c r="BA12" s="151"/>
      <c r="BB12"/>
      <c r="BC12" s="94"/>
      <c r="BD12" s="94"/>
      <c r="BE12" t="str">
        <f>Groepsloting!B11</f>
        <v>Bosnië-Herzegovina</v>
      </c>
      <c r="BF12" s="214" t="str">
        <f>Groepsloting!B247</f>
        <v>Curaçao</v>
      </c>
      <c r="BG12" s="152">
        <v>82</v>
      </c>
      <c r="BH12" s="96" t="s">
        <v>736</v>
      </c>
      <c r="BI12" s="4">
        <v>9</v>
      </c>
    </row>
    <row r="13" spans="1:61" s="90" customFormat="1" ht="14.25" customHeight="1" x14ac:dyDescent="0.2">
      <c r="A13" s="127">
        <v>8</v>
      </c>
      <c r="B13" s="143" t="s">
        <v>473</v>
      </c>
      <c r="C13" s="142">
        <v>0.875</v>
      </c>
      <c r="D13" s="60" t="str">
        <f>Groepsloting!B9</f>
        <v>Qatar</v>
      </c>
      <c r="E13" s="61" t="s">
        <v>5</v>
      </c>
      <c r="F13" s="60" t="str">
        <f>Groepsloting!B10</f>
        <v>Zwitserland</v>
      </c>
      <c r="G13" s="17"/>
      <c r="H13" s="79" t="s">
        <v>5</v>
      </c>
      <c r="I13" s="17"/>
      <c r="J13" s="19">
        <f t="shared" si="16"/>
        <v>0</v>
      </c>
      <c r="K13" s="87"/>
      <c r="L13" s="156"/>
      <c r="M13" s="163" t="str">
        <f>Groepsloting!$B$174</f>
        <v>Achternaam*:</v>
      </c>
      <c r="N13" s="236"/>
      <c r="O13" s="237"/>
      <c r="P13" s="237"/>
      <c r="Q13" s="237"/>
      <c r="R13" s="237"/>
      <c r="S13" s="237"/>
      <c r="T13" s="237"/>
      <c r="U13" s="237"/>
      <c r="V13" s="238"/>
      <c r="W13" s="68"/>
      <c r="X13" s="66"/>
      <c r="Y13" s="4"/>
      <c r="Z13" s="9"/>
      <c r="AA13" s="4"/>
      <c r="AB13" s="4"/>
      <c r="AC13" s="4"/>
      <c r="AD13" s="4"/>
      <c r="AE13" s="4"/>
      <c r="AF13" s="4"/>
      <c r="AG13" s="92"/>
      <c r="AH13" s="92" t="str">
        <f>IF(Inschrijving!G13="","",Inschrijving!D13)</f>
        <v/>
      </c>
      <c r="AI13" s="92" t="str">
        <f>IF(Inschrijving!G13="","",IF(Inschrijving!G13&gt;Inschrijving!I13,1,0))</f>
        <v/>
      </c>
      <c r="AJ13" s="92" t="str">
        <f>IF(Inschrijving!G13="","",IF(Inschrijving!G13&lt;Inschrijving!I13,1,0))</f>
        <v/>
      </c>
      <c r="AK13" s="92" t="str">
        <f>IF(Inschrijving!G13="","",IF(Inschrijving!G13=Inschrijving!I13,1,0))</f>
        <v/>
      </c>
      <c r="AL13" s="92" t="str">
        <f t="shared" si="17"/>
        <v/>
      </c>
      <c r="AM13" s="4"/>
      <c r="AN13" s="4" t="str">
        <f>AP10&amp;AO13</f>
        <v>B1</v>
      </c>
      <c r="AO13" s="94">
        <f>RANK(AZ13,$AZ$11:$AZ$14,1)</f>
        <v>1</v>
      </c>
      <c r="AP13" s="94" t="str">
        <f>Groepsloting!B10</f>
        <v>Zwitserland</v>
      </c>
      <c r="AQ13" s="95">
        <f>COUNTIF(AH$2:AH$98,AP13)+COUNTIF(AL$2:AL$98,AP13)</f>
        <v>0</v>
      </c>
      <c r="AR13" s="95">
        <f t="shared" si="18"/>
        <v>0</v>
      </c>
      <c r="AS13" s="95">
        <f t="shared" si="19"/>
        <v>0</v>
      </c>
      <c r="AT13" s="95">
        <f t="shared" si="20"/>
        <v>0</v>
      </c>
      <c r="AU13" s="95">
        <f t="shared" si="21"/>
        <v>0</v>
      </c>
      <c r="AV13" s="95">
        <f>SUMIF(AH$2:AH$98,AP13,AI$2:AI$98)+SUMIF(AL$2:AL$98,AP13,AJ$2:AJ$98)</f>
        <v>0</v>
      </c>
      <c r="AW13" s="95">
        <f>SUMIF(AH$2:AH$98,AP13,AK$2:AK$98)+SUMIF(AL$2:AL$98,AP13,AK$2:AK$98)</f>
        <v>0</v>
      </c>
      <c r="AX13" s="95">
        <f t="shared" si="22"/>
        <v>0</v>
      </c>
      <c r="AY13" s="95"/>
      <c r="AZ13" s="94">
        <f t="shared" si="23"/>
        <v>1.1139000000000001</v>
      </c>
      <c r="BA13" s="151"/>
      <c r="BB13"/>
      <c r="BC13" s="94"/>
      <c r="BD13" s="94"/>
      <c r="BE13"/>
      <c r="BF13" s="214" t="str">
        <f>Groepsloting!B249</f>
        <v>Duitsland</v>
      </c>
      <c r="BG13" s="152">
        <v>10</v>
      </c>
      <c r="BH13" s="96" t="s">
        <v>737</v>
      </c>
      <c r="BI13" s="4">
        <v>10</v>
      </c>
    </row>
    <row r="14" spans="1:61" s="90" customFormat="1" ht="14.25" customHeight="1" x14ac:dyDescent="0.2">
      <c r="A14" s="127">
        <v>26</v>
      </c>
      <c r="B14" s="143" t="s">
        <v>470</v>
      </c>
      <c r="C14" s="142">
        <v>0.875</v>
      </c>
      <c r="D14" s="60" t="str">
        <f>F13</f>
        <v>Zwitserland</v>
      </c>
      <c r="E14" s="61" t="s">
        <v>5</v>
      </c>
      <c r="F14" s="60" t="str">
        <f>F12</f>
        <v>Bosnië-Herzegovina</v>
      </c>
      <c r="G14" s="17"/>
      <c r="H14" s="79" t="s">
        <v>5</v>
      </c>
      <c r="I14" s="17"/>
      <c r="J14" s="19">
        <f t="shared" si="16"/>
        <v>0</v>
      </c>
      <c r="K14" s="68"/>
      <c r="L14" s="156"/>
      <c r="M14" s="163" t="str">
        <f>Groepsloting!$B$178</f>
        <v xml:space="preserve">E-mail*: </v>
      </c>
      <c r="N14" s="236"/>
      <c r="O14" s="237"/>
      <c r="P14" s="237"/>
      <c r="Q14" s="237"/>
      <c r="R14" s="237"/>
      <c r="S14" s="237"/>
      <c r="T14" s="237"/>
      <c r="U14" s="237"/>
      <c r="V14" s="238"/>
      <c r="W14" s="68"/>
      <c r="X14" s="66"/>
      <c r="Y14" s="15"/>
      <c r="Z14" s="15" t="s">
        <v>7</v>
      </c>
      <c r="AA14" s="16" t="s">
        <v>19</v>
      </c>
      <c r="AB14" s="16" t="s">
        <v>20</v>
      </c>
      <c r="AC14" s="16" t="s">
        <v>21</v>
      </c>
      <c r="AD14" s="16" t="s">
        <v>22</v>
      </c>
      <c r="AE14" s="16" t="s">
        <v>23</v>
      </c>
      <c r="AF14" s="4"/>
      <c r="AG14" s="92"/>
      <c r="AH14" s="92" t="str">
        <f>IF(Inschrijving!G14="","",Inschrijving!D14)</f>
        <v/>
      </c>
      <c r="AI14" s="92" t="str">
        <f>IF(Inschrijving!G14="","",IF(Inschrijving!G14&gt;Inschrijving!I14,1,0))</f>
        <v/>
      </c>
      <c r="AJ14" s="92" t="str">
        <f>IF(Inschrijving!G14="","",IF(Inschrijving!G14&lt;Inschrijving!I14,1,0))</f>
        <v/>
      </c>
      <c r="AK14" s="92" t="str">
        <f>IF(Inschrijving!G14="","",IF(Inschrijving!G14=Inschrijving!I14,1,0))</f>
        <v/>
      </c>
      <c r="AL14" s="92" t="str">
        <f t="shared" si="17"/>
        <v/>
      </c>
      <c r="AM14" s="4"/>
      <c r="AN14" s="4" t="str">
        <f>AP10&amp;AO14</f>
        <v>B4</v>
      </c>
      <c r="AO14" s="94">
        <f>RANK(AZ14,$AZ$11:$AZ$14,1)</f>
        <v>4</v>
      </c>
      <c r="AP14" s="94" t="str">
        <f>Groepsloting!B11</f>
        <v>Bosnië-Herzegovina</v>
      </c>
      <c r="AQ14" s="95">
        <f>COUNTIF(AH$2:AH$98,AP14)+COUNTIF(AL$2:AL$98,AP14)</f>
        <v>0</v>
      </c>
      <c r="AR14" s="95">
        <f t="shared" si="18"/>
        <v>0</v>
      </c>
      <c r="AS14" s="95">
        <f t="shared" si="19"/>
        <v>0</v>
      </c>
      <c r="AT14" s="95">
        <f t="shared" si="20"/>
        <v>0</v>
      </c>
      <c r="AU14" s="95">
        <f t="shared" si="21"/>
        <v>0</v>
      </c>
      <c r="AV14" s="95">
        <f>SUMIF(AH$2:AH$98,AP14,AI$2:AI$98)+SUMIF(AL$2:AL$98,AP14,AJ$2:AJ$98)</f>
        <v>0</v>
      </c>
      <c r="AW14" s="95">
        <f>SUMIF(AH$2:AH$98,AP14,AK$2:AK$98)+SUMIF(AL$2:AL$98,AP14,AK$2:AK$98)</f>
        <v>0</v>
      </c>
      <c r="AX14" s="95">
        <f t="shared" si="22"/>
        <v>0</v>
      </c>
      <c r="AY14" s="95"/>
      <c r="AZ14" s="94">
        <f t="shared" si="23"/>
        <v>1.1185</v>
      </c>
      <c r="BA14" s="151"/>
      <c r="BB14"/>
      <c r="BC14" s="94"/>
      <c r="BD14" s="94"/>
      <c r="BE14" s="91" t="str">
        <f>Groepsloting!B13</f>
        <v>Groep C</v>
      </c>
      <c r="BF14" s="214" t="str">
        <f>Groepsloting!B250</f>
        <v>Ecuador</v>
      </c>
      <c r="BG14" s="152">
        <v>23</v>
      </c>
      <c r="BH14" s="96" t="s">
        <v>404</v>
      </c>
      <c r="BI14" s="4">
        <v>11</v>
      </c>
    </row>
    <row r="15" spans="1:61" s="90" customFormat="1" ht="14.25" customHeight="1" x14ac:dyDescent="0.2">
      <c r="A15" s="127">
        <v>27</v>
      </c>
      <c r="B15" s="143" t="s">
        <v>471</v>
      </c>
      <c r="C15" s="142">
        <v>0</v>
      </c>
      <c r="D15" s="60" t="str">
        <f>D12</f>
        <v>Canada</v>
      </c>
      <c r="E15" s="61" t="s">
        <v>5</v>
      </c>
      <c r="F15" s="60" t="str">
        <f>D13</f>
        <v>Qatar</v>
      </c>
      <c r="G15" s="17"/>
      <c r="H15" s="79" t="s">
        <v>5</v>
      </c>
      <c r="I15" s="17"/>
      <c r="J15" s="19">
        <f t="shared" si="16"/>
        <v>0</v>
      </c>
      <c r="K15" s="68"/>
      <c r="L15" s="156"/>
      <c r="M15" s="224"/>
      <c r="N15" s="224"/>
      <c r="O15" s="224"/>
      <c r="P15" s="224"/>
      <c r="Q15" s="224"/>
      <c r="R15" s="224"/>
      <c r="S15" s="224"/>
      <c r="T15" s="224"/>
      <c r="U15" s="224"/>
      <c r="V15" s="224"/>
      <c r="W15" s="68"/>
      <c r="X15" s="66"/>
      <c r="Y15" s="11">
        <v>1</v>
      </c>
      <c r="Z15" s="12" t="str">
        <f t="shared" ref="Z15:AE15" si="24">VLOOKUP($Y15,$AO$19:$AX$22,AP$1,0)</f>
        <v>Brazilië</v>
      </c>
      <c r="AA15" s="12">
        <f t="shared" si="24"/>
        <v>0</v>
      </c>
      <c r="AB15" s="12">
        <f t="shared" si="24"/>
        <v>0</v>
      </c>
      <c r="AC15" s="12">
        <f t="shared" si="24"/>
        <v>0</v>
      </c>
      <c r="AD15" s="12">
        <f t="shared" si="24"/>
        <v>0</v>
      </c>
      <c r="AE15" s="12">
        <f t="shared" si="24"/>
        <v>0</v>
      </c>
      <c r="AF15" s="13"/>
      <c r="AG15" s="92"/>
      <c r="AH15" s="92" t="str">
        <f>IF(Inschrijving!G15="","",Inschrijving!D15)</f>
        <v/>
      </c>
      <c r="AI15" s="92" t="str">
        <f>IF(Inschrijving!G15="","",IF(Inschrijving!G15&gt;Inschrijving!I15,1,0))</f>
        <v/>
      </c>
      <c r="AJ15" s="92" t="str">
        <f>IF(Inschrijving!G15="","",IF(Inschrijving!G15&lt;Inschrijving!I15,1,0))</f>
        <v/>
      </c>
      <c r="AK15" s="92" t="str">
        <f>IF(Inschrijving!G15="","",IF(Inschrijving!G15=Inschrijving!I15,1,0))</f>
        <v/>
      </c>
      <c r="AL15" s="92" t="str">
        <f t="shared" si="17"/>
        <v/>
      </c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/>
      <c r="BC15"/>
      <c r="BD15" s="4"/>
      <c r="BE15" t="str">
        <f>Groepsloting!B14</f>
        <v>Brazilië</v>
      </c>
      <c r="BF15" s="214" t="str">
        <f>Groepsloting!B251</f>
        <v>Egypte</v>
      </c>
      <c r="BG15" s="152">
        <v>29</v>
      </c>
      <c r="BH15" s="96" t="s">
        <v>760</v>
      </c>
      <c r="BI15" s="4">
        <v>12</v>
      </c>
    </row>
    <row r="16" spans="1:61" s="90" customFormat="1" ht="14.25" customHeight="1" x14ac:dyDescent="0.25">
      <c r="A16" s="127">
        <v>51</v>
      </c>
      <c r="B16" s="143" t="s">
        <v>474</v>
      </c>
      <c r="C16" s="142">
        <v>0.875</v>
      </c>
      <c r="D16" s="60" t="str">
        <f>F13</f>
        <v>Zwitserland</v>
      </c>
      <c r="E16" s="61" t="s">
        <v>5</v>
      </c>
      <c r="F16" s="60" t="str">
        <f>D12</f>
        <v>Canada</v>
      </c>
      <c r="G16" s="17"/>
      <c r="H16" s="79" t="s">
        <v>5</v>
      </c>
      <c r="I16" s="17"/>
      <c r="J16" s="19">
        <f t="shared" si="16"/>
        <v>0</v>
      </c>
      <c r="K16" s="68"/>
      <c r="L16" s="156"/>
      <c r="M16" s="239" t="str">
        <f>Groepsloting!$B$180</f>
        <v>WK 2026 Lucky Elftal detailvragen</v>
      </c>
      <c r="N16" s="239"/>
      <c r="O16" s="239"/>
      <c r="P16" s="239"/>
      <c r="Q16" s="239"/>
      <c r="R16" s="239"/>
      <c r="S16" s="239"/>
      <c r="T16" s="239"/>
      <c r="U16" s="239"/>
      <c r="V16" s="239"/>
      <c r="W16" s="69"/>
      <c r="X16" s="66"/>
      <c r="Y16" s="11">
        <v>2</v>
      </c>
      <c r="Z16" s="12" t="str">
        <f t="shared" ref="Z16:Z18" si="25">VLOOKUP($Y16,$AO$19:$AX$22,AP$1,0)</f>
        <v>Marokko</v>
      </c>
      <c r="AA16" s="12">
        <f t="shared" ref="AA16:AE18" si="26">VLOOKUP($Y16,$AO$19:$AX$22,AQ$1,0)</f>
        <v>0</v>
      </c>
      <c r="AB16" s="12">
        <f t="shared" si="26"/>
        <v>0</v>
      </c>
      <c r="AC16" s="12">
        <f t="shared" si="26"/>
        <v>0</v>
      </c>
      <c r="AD16" s="12">
        <f t="shared" si="26"/>
        <v>0</v>
      </c>
      <c r="AE16" s="12">
        <f t="shared" si="26"/>
        <v>0</v>
      </c>
      <c r="AF16" s="13"/>
      <c r="AG16" s="92"/>
      <c r="AH16" s="92" t="str">
        <f>IF(Inschrijving!G16="","",Inschrijving!D16)</f>
        <v/>
      </c>
      <c r="AI16" s="92" t="str">
        <f>IF(Inschrijving!G16="","",IF(Inschrijving!G16&gt;Inschrijving!I16,1,0))</f>
        <v/>
      </c>
      <c r="AJ16" s="92" t="str">
        <f>IF(Inschrijving!G16="","",IF(Inschrijving!G16&lt;Inschrijving!I16,1,0))</f>
        <v/>
      </c>
      <c r="AK16" s="92" t="str">
        <f>IF(Inschrijving!G16="","",IF(Inschrijving!G16=Inschrijving!I16,1,0))</f>
        <v/>
      </c>
      <c r="AL16" s="92" t="str">
        <f t="shared" si="17"/>
        <v/>
      </c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/>
      <c r="BC16"/>
      <c r="BD16" s="4"/>
      <c r="BE16" t="str">
        <f>Groepsloting!B15</f>
        <v>Marokko</v>
      </c>
      <c r="BF16" s="214" t="str">
        <f>Groepsloting!B252</f>
        <v>Engeland</v>
      </c>
      <c r="BG16" s="152">
        <v>4</v>
      </c>
      <c r="BH16" s="96" t="s">
        <v>405</v>
      </c>
      <c r="BI16" s="4">
        <v>13</v>
      </c>
    </row>
    <row r="17" spans="1:61" s="90" customFormat="1" ht="14.25" customHeight="1" x14ac:dyDescent="0.2">
      <c r="A17" s="127">
        <v>52</v>
      </c>
      <c r="B17" s="143" t="s">
        <v>474</v>
      </c>
      <c r="C17" s="142">
        <v>0.875</v>
      </c>
      <c r="D17" s="60" t="str">
        <f>F12</f>
        <v>Bosnië-Herzegovina</v>
      </c>
      <c r="E17" s="61" t="s">
        <v>5</v>
      </c>
      <c r="F17" s="60" t="str">
        <f>D13</f>
        <v>Qatar</v>
      </c>
      <c r="G17" s="17"/>
      <c r="H17" s="79" t="s">
        <v>5</v>
      </c>
      <c r="I17" s="17"/>
      <c r="J17" s="19">
        <f t="shared" si="16"/>
        <v>0</v>
      </c>
      <c r="K17" s="68"/>
      <c r="L17" s="156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69"/>
      <c r="X17" s="66"/>
      <c r="Y17" s="11">
        <v>3</v>
      </c>
      <c r="Z17" s="12" t="str">
        <f t="shared" si="25"/>
        <v>Schotland</v>
      </c>
      <c r="AA17" s="12">
        <f t="shared" si="26"/>
        <v>0</v>
      </c>
      <c r="AB17" s="12">
        <f t="shared" si="26"/>
        <v>0</v>
      </c>
      <c r="AC17" s="12">
        <f t="shared" si="26"/>
        <v>0</v>
      </c>
      <c r="AD17" s="12">
        <f t="shared" si="26"/>
        <v>0</v>
      </c>
      <c r="AE17" s="12">
        <f t="shared" si="26"/>
        <v>0</v>
      </c>
      <c r="AF17" s="13"/>
      <c r="AG17" s="92"/>
      <c r="AH17" s="92" t="str">
        <f>IF(Inschrijving!G17="","",Inschrijving!D17)</f>
        <v/>
      </c>
      <c r="AI17" s="92" t="str">
        <f>IF(Inschrijving!G17="","",IF(Inschrijving!G17&gt;Inschrijving!I17,1,0))</f>
        <v/>
      </c>
      <c r="AJ17" s="92" t="str">
        <f>IF(Inschrijving!G17="","",IF(Inschrijving!G17&lt;Inschrijving!I17,1,0))</f>
        <v/>
      </c>
      <c r="AK17" s="92" t="str">
        <f>IF(Inschrijving!G17="","",IF(Inschrijving!G17=Inschrijving!I17,1,0))</f>
        <v/>
      </c>
      <c r="AL17" s="92" t="str">
        <f t="shared" si="17"/>
        <v/>
      </c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/>
      <c r="BC17"/>
      <c r="BD17" s="4"/>
      <c r="BE17" t="str">
        <f>Groepsloting!B16</f>
        <v>Haïti</v>
      </c>
      <c r="BF17" s="214" t="str">
        <f>Groepsloting!B253</f>
        <v>Frankrijk</v>
      </c>
      <c r="BG17" s="152">
        <v>1</v>
      </c>
      <c r="BH17" s="96" t="s">
        <v>738</v>
      </c>
      <c r="BI17" s="4">
        <v>14</v>
      </c>
    </row>
    <row r="18" spans="1:61" s="90" customFormat="1" ht="14.25" customHeight="1" x14ac:dyDescent="0.2">
      <c r="A18" s="127"/>
      <c r="B18" s="178"/>
      <c r="C18" s="179"/>
      <c r="D18" s="183"/>
      <c r="E18" s="184"/>
      <c r="F18" s="183"/>
      <c r="G18" s="182"/>
      <c r="H18" s="184"/>
      <c r="I18" s="182"/>
      <c r="J18" s="182"/>
      <c r="K18" s="68"/>
      <c r="L18" s="162"/>
      <c r="M18" s="163" t="str">
        <f>Groepsloting!$B$181</f>
        <v>1. Welke land krijgt de meeste tegendoelpunten in de groepsfase?  (5 punten)</v>
      </c>
      <c r="N18" s="20"/>
      <c r="O18" s="20"/>
      <c r="P18" s="20"/>
      <c r="Q18" s="20"/>
      <c r="R18" s="20"/>
      <c r="S18" s="20"/>
      <c r="T18" s="20"/>
      <c r="U18" s="20"/>
      <c r="V18" s="20"/>
      <c r="W18" s="69"/>
      <c r="X18" s="66"/>
      <c r="Y18" s="11">
        <v>4</v>
      </c>
      <c r="Z18" s="12" t="str">
        <f t="shared" si="25"/>
        <v>Haïti</v>
      </c>
      <c r="AA18" s="12">
        <f t="shared" si="26"/>
        <v>0</v>
      </c>
      <c r="AB18" s="12">
        <f t="shared" si="26"/>
        <v>0</v>
      </c>
      <c r="AC18" s="12">
        <f t="shared" si="26"/>
        <v>0</v>
      </c>
      <c r="AD18" s="12">
        <f t="shared" si="26"/>
        <v>0</v>
      </c>
      <c r="AE18" s="12">
        <f t="shared" si="26"/>
        <v>0</v>
      </c>
      <c r="AF18" s="13"/>
      <c r="AG18" s="92"/>
      <c r="AH18" s="92"/>
      <c r="AI18" s="92"/>
      <c r="AJ18" s="92"/>
      <c r="AK18" s="92"/>
      <c r="AL18" s="92"/>
      <c r="AM18" s="4"/>
      <c r="AN18" s="4"/>
      <c r="AO18" s="94"/>
      <c r="AP18" s="94" t="s">
        <v>71</v>
      </c>
      <c r="AQ18" s="95" t="s">
        <v>61</v>
      </c>
      <c r="AR18" s="95" t="s">
        <v>68</v>
      </c>
      <c r="AS18" s="95" t="s">
        <v>65</v>
      </c>
      <c r="AT18" s="95" t="s">
        <v>66</v>
      </c>
      <c r="AU18" s="95" t="s">
        <v>67</v>
      </c>
      <c r="AV18" s="95" t="s">
        <v>62</v>
      </c>
      <c r="AW18" s="95" t="s">
        <v>63</v>
      </c>
      <c r="AX18" s="95" t="s">
        <v>64</v>
      </c>
      <c r="AY18" s="95"/>
      <c r="AZ18" s="94"/>
      <c r="BA18" s="94"/>
      <c r="BB18"/>
      <c r="BC18"/>
      <c r="BD18" s="94"/>
      <c r="BE18" t="str">
        <f>Groepsloting!B17</f>
        <v>Schotland</v>
      </c>
      <c r="BF18" s="214" t="str">
        <f>Groepsloting!B254</f>
        <v>Ghana</v>
      </c>
      <c r="BG18" s="152">
        <v>74</v>
      </c>
      <c r="BH18" s="96" t="s">
        <v>756</v>
      </c>
      <c r="BI18" s="4">
        <v>15</v>
      </c>
    </row>
    <row r="19" spans="1:61" s="90" customFormat="1" ht="14.25" customHeight="1" x14ac:dyDescent="0.2">
      <c r="A19" s="127"/>
      <c r="B19" s="57" t="str">
        <f>Groepsloting!$B$13</f>
        <v>Groep C</v>
      </c>
      <c r="C19" s="131"/>
      <c r="D19" s="58" t="str">
        <f>Groepsloting!$B$119</f>
        <v>Wedstrijd</v>
      </c>
      <c r="E19" s="59"/>
      <c r="F19" s="58"/>
      <c r="G19" s="58"/>
      <c r="H19" s="192" t="str">
        <f>Groepsloting!$B$120</f>
        <v>Uitslag</v>
      </c>
      <c r="I19" s="58"/>
      <c r="J19" s="64" t="str">
        <f>Groepsloting!$B$121</f>
        <v>Toto</v>
      </c>
      <c r="K19" s="68"/>
      <c r="L19" s="156"/>
      <c r="M19" s="67"/>
      <c r="N19" s="236" t="s">
        <v>210</v>
      </c>
      <c r="O19" s="237"/>
      <c r="P19" s="237"/>
      <c r="Q19" s="237"/>
      <c r="R19" s="237"/>
      <c r="S19" s="237"/>
      <c r="T19" s="237"/>
      <c r="U19" s="237"/>
      <c r="V19" s="238"/>
      <c r="W19" s="69"/>
      <c r="X19" s="66"/>
      <c r="Y19" s="4"/>
      <c r="Z19" s="9"/>
      <c r="AA19" s="4"/>
      <c r="AB19" s="4"/>
      <c r="AC19" s="4"/>
      <c r="AD19" s="4"/>
      <c r="AE19" s="4"/>
      <c r="AF19" s="4"/>
      <c r="AG19" s="92" t="s">
        <v>71</v>
      </c>
      <c r="AH19" s="93" t="s">
        <v>57</v>
      </c>
      <c r="AI19" s="93"/>
      <c r="AJ19" s="93"/>
      <c r="AK19" s="93"/>
      <c r="AL19" s="93" t="s">
        <v>59</v>
      </c>
      <c r="AM19" s="4"/>
      <c r="AN19" s="4" t="str">
        <f>AP18&amp;AO19</f>
        <v>C1</v>
      </c>
      <c r="AO19" s="94">
        <f>RANK(AZ19,$AZ$19:$AZ$22,1)</f>
        <v>1</v>
      </c>
      <c r="AP19" s="94" t="str">
        <f>Groepsloting!B14</f>
        <v>Brazilië</v>
      </c>
      <c r="AQ19" s="95">
        <f>COUNTIF(AH$2:AH$98,AP19)+COUNTIF(AL$2:AL$98,AP19)</f>
        <v>0</v>
      </c>
      <c r="AR19" s="95">
        <f>AV19*3+AW19</f>
        <v>0</v>
      </c>
      <c r="AS19" s="95">
        <f>SUMIF($D$20:$D$25,AP19,$G$20:$G$25)+SUMIF($F$20:$F$25,AP19,$I$20:$I$25)</f>
        <v>0</v>
      </c>
      <c r="AT19" s="95">
        <f>SUMIF($D$20:$D$25,AP19,$I$20:$I$25)+SUMIF($F$20:$F$25,AP19,$G$20:$G$25)</f>
        <v>0</v>
      </c>
      <c r="AU19" s="95">
        <f>AS19-AT19</f>
        <v>0</v>
      </c>
      <c r="AV19" s="95">
        <f>SUMIF(AH$2:AH$98,AP19,AI$2:AI$98)+SUMIF(AL$2:AL$98,AP19,AJ$2:AJ$98)</f>
        <v>0</v>
      </c>
      <c r="AW19" s="95">
        <f>SUMIF(AH$2:AH$98,AP19,AK$2:AK$98)+SUMIF(AL$2:AL$98,AP19,AK$2:AK$98)</f>
        <v>0</v>
      </c>
      <c r="AX19" s="95">
        <f>AQ19-SUM(AV19:AW19)</f>
        <v>0</v>
      </c>
      <c r="AY19" s="95"/>
      <c r="AZ19" s="94">
        <f>RANK(AR19,$AR$19:$AR$22)+RANK(AU19,$AU$19:$AU$22)/10+RANK(AS19,$AS$19:$AS$22,0)/100+RANK(AQ19,$AQ$19:$AQ$22,1)/500+VLOOKUP(AP19,$BF$3:$BG$50,2,0)/10000</f>
        <v>1.1126</v>
      </c>
      <c r="BA19" s="151"/>
      <c r="BB19"/>
      <c r="BC19" s="94"/>
      <c r="BD19" s="94"/>
      <c r="BE19"/>
      <c r="BF19" s="214" t="str">
        <f>Groepsloting!B255</f>
        <v>Haïti</v>
      </c>
      <c r="BG19" s="152">
        <v>83</v>
      </c>
      <c r="BH19" s="96" t="s">
        <v>757</v>
      </c>
      <c r="BI19"/>
    </row>
    <row r="20" spans="1:61" s="90" customFormat="1" ht="14.25" customHeight="1" x14ac:dyDescent="0.2">
      <c r="A20" s="127">
        <v>7</v>
      </c>
      <c r="B20" s="143" t="s">
        <v>476</v>
      </c>
      <c r="C20" s="142">
        <v>0</v>
      </c>
      <c r="D20" s="60" t="str">
        <f>Groepsloting!B14</f>
        <v>Brazilië</v>
      </c>
      <c r="E20" s="61" t="s">
        <v>5</v>
      </c>
      <c r="F20" s="60" t="str">
        <f>Groepsloting!B15</f>
        <v>Marokko</v>
      </c>
      <c r="G20" s="17"/>
      <c r="H20" s="79" t="s">
        <v>5</v>
      </c>
      <c r="I20" s="17"/>
      <c r="J20" s="19">
        <f t="shared" ref="J20:J25" si="27">IF(AND(G20="",I20=""),0,IF(G20&gt;I20,1,IF(G20&lt;I20,2,3)))</f>
        <v>0</v>
      </c>
      <c r="K20" s="68"/>
      <c r="L20" s="156"/>
      <c r="M20" s="163" t="str">
        <f>Groepsloting!$B$182</f>
        <v>2. Welk land krijgt de minste tegendoelpunten in de groepsfase?  (5 punten)</v>
      </c>
      <c r="N20" s="20"/>
      <c r="O20" s="20"/>
      <c r="P20" s="20"/>
      <c r="Q20" s="20"/>
      <c r="R20" s="20"/>
      <c r="S20" s="20"/>
      <c r="T20" s="20"/>
      <c r="U20" s="20"/>
      <c r="V20" s="20"/>
      <c r="W20" s="69"/>
      <c r="X20" s="66"/>
      <c r="Y20" s="15"/>
      <c r="Z20" s="15" t="s">
        <v>8</v>
      </c>
      <c r="AA20" s="16" t="s">
        <v>19</v>
      </c>
      <c r="AB20" s="16" t="s">
        <v>20</v>
      </c>
      <c r="AC20" s="16" t="s">
        <v>21</v>
      </c>
      <c r="AD20" s="16" t="s">
        <v>22</v>
      </c>
      <c r="AE20" s="16" t="s">
        <v>23</v>
      </c>
      <c r="AF20" s="4"/>
      <c r="AG20" s="92"/>
      <c r="AH20" s="92" t="str">
        <f>IF(Inschrijving!G20="","",Inschrijving!D20)</f>
        <v/>
      </c>
      <c r="AI20" s="92" t="str">
        <f>IF(Inschrijving!G20="","",IF(Inschrijving!G20&gt;Inschrijving!I20,1,0))</f>
        <v/>
      </c>
      <c r="AJ20" s="92" t="str">
        <f>IF(Inschrijving!G20="","",IF(Inschrijving!G20&lt;Inschrijving!I20,1,0))</f>
        <v/>
      </c>
      <c r="AK20" s="92" t="str">
        <f>IF(Inschrijving!G20="","",IF(Inschrijving!G20=Inschrijving!I20,1,0))</f>
        <v/>
      </c>
      <c r="AL20" s="92" t="str">
        <f>IF(Inschrijving!I20="","",Inschrijving!F20)</f>
        <v/>
      </c>
      <c r="AM20" s="4"/>
      <c r="AN20" s="4" t="str">
        <f>AP18&amp;AO20</f>
        <v>C2</v>
      </c>
      <c r="AO20" s="94">
        <f>RANK(AZ20,$AZ$19:$AZ$22,1)</f>
        <v>2</v>
      </c>
      <c r="AP20" s="94" t="str">
        <f>Groepsloting!B15</f>
        <v>Marokko</v>
      </c>
      <c r="AQ20" s="95">
        <f>COUNTIF(AH$2:AH$98,AP20)+COUNTIF(AL$2:AL$98,AP20)</f>
        <v>0</v>
      </c>
      <c r="AR20" s="95">
        <f>AV20*3+AW20</f>
        <v>0</v>
      </c>
      <c r="AS20" s="95">
        <f t="shared" ref="AS20:AS22" si="28">SUMIF($D$20:$D$25,AP20,$G$20:$G$25)+SUMIF($F$20:$F$25,AP20,$I$20:$I$25)</f>
        <v>0</v>
      </c>
      <c r="AT20" s="95">
        <f t="shared" ref="AT20:AT22" si="29">SUMIF($D$20:$D$25,AP20,$I$20:$I$25)+SUMIF($F$20:$F$25,AP20,$G$20:$G$25)</f>
        <v>0</v>
      </c>
      <c r="AU20" s="95">
        <f>AS20-AT20</f>
        <v>0</v>
      </c>
      <c r="AV20" s="95">
        <f>SUMIF(AH$2:AH$98,AP20,AI$2:AI$98)+SUMIF(AL$2:AL$98,AP20,AJ$2:AJ$98)</f>
        <v>0</v>
      </c>
      <c r="AW20" s="95">
        <f>SUMIF(AH$2:AH$98,AP20,AK$2:AK$98)+SUMIF(AL$2:AL$98,AP20,AK$2:AK$98)</f>
        <v>0</v>
      </c>
      <c r="AX20" s="95">
        <f>AQ20-SUM(AV20:AW20)</f>
        <v>0</v>
      </c>
      <c r="AY20" s="95"/>
      <c r="AZ20" s="94">
        <f t="shared" ref="AZ20:AZ21" si="30">RANK(AR20,$AR$19:$AR$22)+RANK(AU20,$AU$19:$AU$22)/10+RANK(AS20,$AS$19:$AS$22,0)/100+RANK(AQ20,$AQ$19:$AQ$22,1)/500+VLOOKUP(AP20,$BF$3:$BG$50,2,0)/10000</f>
        <v>1.1128</v>
      </c>
      <c r="BA20" s="151"/>
      <c r="BB20"/>
      <c r="BC20" s="94"/>
      <c r="BD20" s="94"/>
      <c r="BE20" s="91" t="str">
        <f>Groepsloting!B19</f>
        <v>Groep D</v>
      </c>
      <c r="BF20" s="214" t="str">
        <f>Groepsloting!B243</f>
        <v>Irak</v>
      </c>
      <c r="BG20" s="152">
        <v>57</v>
      </c>
      <c r="BH20" s="96" t="s">
        <v>754</v>
      </c>
      <c r="BI20"/>
    </row>
    <row r="21" spans="1:61" s="90" customFormat="1" ht="14.25" customHeight="1" x14ac:dyDescent="0.2">
      <c r="A21" s="127">
        <v>5</v>
      </c>
      <c r="B21" s="143" t="s">
        <v>476</v>
      </c>
      <c r="C21" s="142">
        <v>0.125</v>
      </c>
      <c r="D21" s="60" t="str">
        <f>Groepsloting!B16</f>
        <v>Haïti</v>
      </c>
      <c r="E21" s="61" t="s">
        <v>5</v>
      </c>
      <c r="F21" s="60" t="str">
        <f>Groepsloting!B17</f>
        <v>Schotland</v>
      </c>
      <c r="G21" s="17"/>
      <c r="H21" s="79" t="s">
        <v>5</v>
      </c>
      <c r="I21" s="17"/>
      <c r="J21" s="19">
        <f t="shared" si="27"/>
        <v>0</v>
      </c>
      <c r="K21" s="87"/>
      <c r="L21" s="162"/>
      <c r="M21" s="163"/>
      <c r="N21" s="236" t="s">
        <v>210</v>
      </c>
      <c r="O21" s="237"/>
      <c r="P21" s="237"/>
      <c r="Q21" s="237"/>
      <c r="R21" s="237"/>
      <c r="S21" s="237"/>
      <c r="T21" s="237"/>
      <c r="U21" s="237"/>
      <c r="V21" s="238"/>
      <c r="W21" s="69"/>
      <c r="X21" s="66"/>
      <c r="Y21" s="11">
        <v>1</v>
      </c>
      <c r="Z21" s="12" t="str">
        <f t="shared" ref="Z21:AE21" si="31">VLOOKUP($Y21,$AO$27:$AX$30,AP$1,0)</f>
        <v>Verenigde Staten</v>
      </c>
      <c r="AA21" s="12">
        <f t="shared" si="31"/>
        <v>0</v>
      </c>
      <c r="AB21" s="12">
        <f t="shared" si="31"/>
        <v>0</v>
      </c>
      <c r="AC21" s="12">
        <f t="shared" si="31"/>
        <v>0</v>
      </c>
      <c r="AD21" s="12">
        <f t="shared" si="31"/>
        <v>0</v>
      </c>
      <c r="AE21" s="12">
        <f t="shared" si="31"/>
        <v>0</v>
      </c>
      <c r="AF21" s="13"/>
      <c r="AG21" s="92"/>
      <c r="AH21" s="92" t="str">
        <f>IF(Inschrijving!G21="","",Inschrijving!D21)</f>
        <v/>
      </c>
      <c r="AI21" s="92" t="str">
        <f>IF(Inschrijving!G21="","",IF(Inschrijving!G21&gt;Inschrijving!I21,1,0))</f>
        <v/>
      </c>
      <c r="AJ21" s="92" t="str">
        <f>IF(Inschrijving!G21="","",IF(Inschrijving!G21&lt;Inschrijving!I21,1,0))</f>
        <v/>
      </c>
      <c r="AK21" s="92" t="str">
        <f>IF(Inschrijving!G21="","",IF(Inschrijving!G21=Inschrijving!I21,1,0))</f>
        <v/>
      </c>
      <c r="AL21" s="92" t="str">
        <f>IF(Inschrijving!I21="","",Inschrijving!F21)</f>
        <v/>
      </c>
      <c r="AM21" s="4"/>
      <c r="AN21" s="4" t="str">
        <f>AP18&amp;AO21</f>
        <v>C4</v>
      </c>
      <c r="AO21" s="94">
        <f>RANK(AZ21,$AZ$19:$AZ$22,1)</f>
        <v>4</v>
      </c>
      <c r="AP21" s="94" t="str">
        <f>Groepsloting!B16</f>
        <v>Haïti</v>
      </c>
      <c r="AQ21" s="95">
        <f>COUNTIF(AH$2:AH$98,AP21)+COUNTIF(AL$2:AL$98,AP21)</f>
        <v>0</v>
      </c>
      <c r="AR21" s="95">
        <f>AV21*3+AW21</f>
        <v>0</v>
      </c>
      <c r="AS21" s="95">
        <f t="shared" si="28"/>
        <v>0</v>
      </c>
      <c r="AT21" s="95">
        <f t="shared" si="29"/>
        <v>0</v>
      </c>
      <c r="AU21" s="95">
        <f>AS21-AT21</f>
        <v>0</v>
      </c>
      <c r="AV21" s="95">
        <f>SUMIF(AH$2:AH$98,AP21,AI$2:AI$98)+SUMIF(AL$2:AL$98,AP21,AJ$2:AJ$98)</f>
        <v>0</v>
      </c>
      <c r="AW21" s="95">
        <f>SUMIF(AH$2:AH$98,AP21,AK$2:AK$98)+SUMIF(AL$2:AL$98,AP21,AK$2:AK$98)</f>
        <v>0</v>
      </c>
      <c r="AX21" s="95">
        <f>AQ21-SUM(AV21:AW21)</f>
        <v>0</v>
      </c>
      <c r="AY21" s="95"/>
      <c r="AZ21" s="94">
        <f t="shared" si="30"/>
        <v>1.1203000000000001</v>
      </c>
      <c r="BA21" s="151"/>
      <c r="BB21"/>
      <c r="BC21" s="94"/>
      <c r="BD21" s="94"/>
      <c r="BE21" t="str">
        <f>Groepsloting!B20</f>
        <v>Verenigde Staten</v>
      </c>
      <c r="BF21" s="214" t="str">
        <f>Groepsloting!B256</f>
        <v>Iran</v>
      </c>
      <c r="BG21" s="152">
        <v>21</v>
      </c>
      <c r="BH21" s="96" t="s">
        <v>755</v>
      </c>
      <c r="BI21"/>
    </row>
    <row r="22" spans="1:61" s="90" customFormat="1" ht="14.25" customHeight="1" x14ac:dyDescent="0.2">
      <c r="A22" s="127">
        <v>30</v>
      </c>
      <c r="B22" s="143" t="s">
        <v>478</v>
      </c>
      <c r="C22" s="142">
        <v>0</v>
      </c>
      <c r="D22" s="60" t="str">
        <f>F21</f>
        <v>Schotland</v>
      </c>
      <c r="E22" s="61" t="s">
        <v>5</v>
      </c>
      <c r="F22" s="60" t="str">
        <f>F20</f>
        <v>Marokko</v>
      </c>
      <c r="G22" s="17"/>
      <c r="H22" s="79" t="s">
        <v>5</v>
      </c>
      <c r="I22" s="17"/>
      <c r="J22" s="19">
        <f t="shared" si="27"/>
        <v>0</v>
      </c>
      <c r="K22" s="68"/>
      <c r="L22" s="156"/>
      <c r="M22" s="163" t="str">
        <f>Groepsloting!$B$183</f>
        <v>3. Welk land scoort de meeste doelpunten in de groepsfase?  (5 punten)</v>
      </c>
      <c r="N22" s="20"/>
      <c r="O22" s="20"/>
      <c r="P22" s="20"/>
      <c r="Q22" s="20"/>
      <c r="R22" s="20"/>
      <c r="S22" s="20"/>
      <c r="T22" s="20"/>
      <c r="U22" s="20"/>
      <c r="V22" s="20"/>
      <c r="W22" s="69"/>
      <c r="X22" s="66"/>
      <c r="Y22" s="11">
        <v>2</v>
      </c>
      <c r="Z22" s="12" t="str">
        <f t="shared" ref="Z22:Z24" si="32">VLOOKUP($Y22,$AO$27:$AX$30,AP$1,0)</f>
        <v>Turkije</v>
      </c>
      <c r="AA22" s="12">
        <f t="shared" ref="AA22:AE24" si="33">VLOOKUP($Y22,$AO$27:$AX$30,AQ$1,0)</f>
        <v>0</v>
      </c>
      <c r="AB22" s="12">
        <f t="shared" si="33"/>
        <v>0</v>
      </c>
      <c r="AC22" s="12">
        <f t="shared" si="33"/>
        <v>0</v>
      </c>
      <c r="AD22" s="12">
        <f t="shared" si="33"/>
        <v>0</v>
      </c>
      <c r="AE22" s="12">
        <f t="shared" si="33"/>
        <v>0</v>
      </c>
      <c r="AF22" s="13"/>
      <c r="AG22" s="92"/>
      <c r="AH22" s="92" t="str">
        <f>IF(Inschrijving!G22="","",Inschrijving!D22)</f>
        <v/>
      </c>
      <c r="AI22" s="92" t="str">
        <f>IF(Inschrijving!G22="","",IF(Inschrijving!G22&gt;Inschrijving!I22,1,0))</f>
        <v/>
      </c>
      <c r="AJ22" s="92" t="str">
        <f>IF(Inschrijving!G22="","",IF(Inschrijving!G22&lt;Inschrijving!I22,1,0))</f>
        <v/>
      </c>
      <c r="AK22" s="92" t="str">
        <f>IF(Inschrijving!G22="","",IF(Inschrijving!G22=Inschrijving!I22,1,0))</f>
        <v/>
      </c>
      <c r="AL22" s="92" t="str">
        <f>IF(Inschrijving!I22="","",Inschrijving!F22)</f>
        <v/>
      </c>
      <c r="AM22" s="4"/>
      <c r="AN22" s="4" t="str">
        <f>AP18&amp;AO22</f>
        <v>C3</v>
      </c>
      <c r="AO22" s="94">
        <f>RANK(AZ22,$AZ$19:$AZ$22,1)</f>
        <v>3</v>
      </c>
      <c r="AP22" s="94" t="str">
        <f>Groepsloting!B17</f>
        <v>Schotland</v>
      </c>
      <c r="AQ22" s="95">
        <f>COUNTIF(AH$2:AH$98,AP22)+COUNTIF(AL$2:AL$98,AP22)</f>
        <v>0</v>
      </c>
      <c r="AR22" s="95">
        <f>AV22*3+AW22</f>
        <v>0</v>
      </c>
      <c r="AS22" s="95">
        <f t="shared" si="28"/>
        <v>0</v>
      </c>
      <c r="AT22" s="95">
        <f t="shared" si="29"/>
        <v>0</v>
      </c>
      <c r="AU22" s="95">
        <f>AS22-AT22</f>
        <v>0</v>
      </c>
      <c r="AV22" s="95">
        <f>SUMIF(AH$2:AH$98,AP22,AI$2:AI$98)+SUMIF(AL$2:AL$98,AP22,AJ$2:AJ$98)</f>
        <v>0</v>
      </c>
      <c r="AW22" s="95">
        <f>SUMIF(AH$2:AH$98,AP22,AK$2:AK$98)+SUMIF(AL$2:AL$98,AP22,AK$2:AK$98)</f>
        <v>0</v>
      </c>
      <c r="AX22" s="95">
        <f>AQ22-SUM(AV22:AW22)</f>
        <v>0</v>
      </c>
      <c r="AY22" s="95"/>
      <c r="AZ22" s="94">
        <f>RANK(AR22,$AR$19:$AR$22)+RANK(AU22,$AU$19:$AU$22)/10+RANK(AS22,$AS$19:$AS$22,0)/100+RANK(AQ22,$AQ$19:$AQ$22,1)/500+VLOOKUP(AP22,$BF$3:$BG$50,2,0)/10000</f>
        <v>1.1163000000000001</v>
      </c>
      <c r="BA22" s="151"/>
      <c r="BB22"/>
      <c r="BC22" s="94"/>
      <c r="BD22" s="94"/>
      <c r="BE22" t="str">
        <f>Groepsloting!B21</f>
        <v>Paraguay</v>
      </c>
      <c r="BF22" s="214" t="str">
        <f>Groepsloting!B258</f>
        <v>Ivoorkust</v>
      </c>
      <c r="BG22" s="152">
        <v>34</v>
      </c>
      <c r="BH22" s="96" t="s">
        <v>739</v>
      </c>
      <c r="BI22"/>
    </row>
    <row r="23" spans="1:61" s="90" customFormat="1" ht="14.25" customHeight="1" x14ac:dyDescent="0.2">
      <c r="A23" s="127">
        <v>29</v>
      </c>
      <c r="B23" s="143" t="s">
        <v>478</v>
      </c>
      <c r="C23" s="142">
        <v>0.10416666666666667</v>
      </c>
      <c r="D23" s="60" t="str">
        <f>D20</f>
        <v>Brazilië</v>
      </c>
      <c r="E23" s="61" t="s">
        <v>5</v>
      </c>
      <c r="F23" s="60" t="str">
        <f>D21</f>
        <v>Haïti</v>
      </c>
      <c r="G23" s="17"/>
      <c r="H23" s="79" t="s">
        <v>5</v>
      </c>
      <c r="I23" s="17"/>
      <c r="J23" s="19">
        <f t="shared" si="27"/>
        <v>0</v>
      </c>
      <c r="K23" s="68"/>
      <c r="L23" s="156"/>
      <c r="M23" s="163"/>
      <c r="N23" s="236" t="s">
        <v>210</v>
      </c>
      <c r="O23" s="237"/>
      <c r="P23" s="237"/>
      <c r="Q23" s="237"/>
      <c r="R23" s="237"/>
      <c r="S23" s="237"/>
      <c r="T23" s="237"/>
      <c r="U23" s="237"/>
      <c r="V23" s="238"/>
      <c r="W23" s="69"/>
      <c r="X23" s="66"/>
      <c r="Y23" s="11">
        <v>3</v>
      </c>
      <c r="Z23" s="12" t="str">
        <f t="shared" si="32"/>
        <v>Australië</v>
      </c>
      <c r="AA23" s="12">
        <f t="shared" si="33"/>
        <v>0</v>
      </c>
      <c r="AB23" s="12">
        <f t="shared" si="33"/>
        <v>0</v>
      </c>
      <c r="AC23" s="12">
        <f t="shared" si="33"/>
        <v>0</v>
      </c>
      <c r="AD23" s="12">
        <f t="shared" si="33"/>
        <v>0</v>
      </c>
      <c r="AE23" s="12">
        <f t="shared" si="33"/>
        <v>0</v>
      </c>
      <c r="AF23" s="13"/>
      <c r="AG23" s="92"/>
      <c r="AH23" s="92" t="str">
        <f>IF(Inschrijving!G23="","",Inschrijving!D23)</f>
        <v/>
      </c>
      <c r="AI23" s="92" t="str">
        <f>IF(Inschrijving!G23="","",IF(Inschrijving!G23&gt;Inschrijving!I23,1,0))</f>
        <v/>
      </c>
      <c r="AJ23" s="92" t="str">
        <f>IF(Inschrijving!G23="","",IF(Inschrijving!G23&lt;Inschrijving!I23,1,0))</f>
        <v/>
      </c>
      <c r="AK23" s="92" t="str">
        <f>IF(Inschrijving!G23="","",IF(Inschrijving!G23=Inschrijving!I23,1,0))</f>
        <v/>
      </c>
      <c r="AL23" s="92" t="str">
        <f>IF(Inschrijving!I23="","",Inschrijving!F23)</f>
        <v/>
      </c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/>
      <c r="BC23"/>
      <c r="BD23" s="4"/>
      <c r="BE23" t="str">
        <f>Groepsloting!B22</f>
        <v>Australië</v>
      </c>
      <c r="BF23" s="214" t="str">
        <f>Groepsloting!B259</f>
        <v>Japan</v>
      </c>
      <c r="BG23" s="152">
        <v>18</v>
      </c>
      <c r="BH23" s="96" t="s">
        <v>406</v>
      </c>
      <c r="BI23"/>
    </row>
    <row r="24" spans="1:61" s="90" customFormat="1" ht="14.25" customHeight="1" x14ac:dyDescent="0.2">
      <c r="A24" s="127">
        <v>49</v>
      </c>
      <c r="B24" s="143" t="s">
        <v>472</v>
      </c>
      <c r="C24" s="142">
        <v>0</v>
      </c>
      <c r="D24" s="60" t="str">
        <f>F21</f>
        <v>Schotland</v>
      </c>
      <c r="E24" s="61" t="s">
        <v>5</v>
      </c>
      <c r="F24" s="60" t="str">
        <f>D20</f>
        <v>Brazilië</v>
      </c>
      <c r="G24" s="17"/>
      <c r="H24" s="79" t="s">
        <v>5</v>
      </c>
      <c r="I24" s="17"/>
      <c r="J24" s="19">
        <f t="shared" si="27"/>
        <v>0</v>
      </c>
      <c r="K24" s="68"/>
      <c r="L24" s="162"/>
      <c r="M24" s="163" t="str">
        <f>Groepsloting!$B$184</f>
        <v>4. Welk land scoort de minste doelpunten in de groepsfase?  (5 punten)</v>
      </c>
      <c r="N24" s="20"/>
      <c r="O24" s="20"/>
      <c r="P24" s="20"/>
      <c r="Q24" s="20"/>
      <c r="R24" s="20"/>
      <c r="S24" s="20"/>
      <c r="T24" s="20"/>
      <c r="U24" s="20"/>
      <c r="V24" s="20"/>
      <c r="W24" s="69"/>
      <c r="X24" s="66"/>
      <c r="Y24" s="11">
        <v>4</v>
      </c>
      <c r="Z24" s="12" t="str">
        <f t="shared" si="32"/>
        <v>Paraguay</v>
      </c>
      <c r="AA24" s="12">
        <f t="shared" si="33"/>
        <v>0</v>
      </c>
      <c r="AB24" s="12">
        <f t="shared" si="33"/>
        <v>0</v>
      </c>
      <c r="AC24" s="12">
        <f t="shared" si="33"/>
        <v>0</v>
      </c>
      <c r="AD24" s="12">
        <f t="shared" si="33"/>
        <v>0</v>
      </c>
      <c r="AE24" s="12">
        <f t="shared" si="33"/>
        <v>0</v>
      </c>
      <c r="AF24" s="13"/>
      <c r="AG24" s="92"/>
      <c r="AH24" s="92" t="str">
        <f>IF(Inschrijving!G24="","",Inschrijving!D24)</f>
        <v/>
      </c>
      <c r="AI24" s="92" t="str">
        <f>IF(Inschrijving!G24="","",IF(Inschrijving!G24&gt;Inschrijving!I24,1,0))</f>
        <v/>
      </c>
      <c r="AJ24" s="92" t="str">
        <f>IF(Inschrijving!G24="","",IF(Inschrijving!G24&lt;Inschrijving!I24,1,0))</f>
        <v/>
      </c>
      <c r="AK24" s="92" t="str">
        <f>IF(Inschrijving!G24="","",IF(Inschrijving!G24=Inschrijving!I24,1,0))</f>
        <v/>
      </c>
      <c r="AL24" s="92" t="str">
        <f>IF(Inschrijving!I24="","",Inschrijving!F24)</f>
        <v/>
      </c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/>
      <c r="BC24"/>
      <c r="BD24" s="4"/>
      <c r="BE24" t="str">
        <f>Groepsloting!B23</f>
        <v>Turkije</v>
      </c>
      <c r="BF24" s="214" t="str">
        <f>Groepsloting!B260</f>
        <v>Jordanië</v>
      </c>
      <c r="BG24" s="152">
        <v>63</v>
      </c>
      <c r="BH24" s="96" t="s">
        <v>407</v>
      </c>
      <c r="BI24"/>
    </row>
    <row r="25" spans="1:61" s="90" customFormat="1" ht="14.25" customHeight="1" x14ac:dyDescent="0.2">
      <c r="A25" s="127">
        <v>50</v>
      </c>
      <c r="B25" s="143" t="s">
        <v>472</v>
      </c>
      <c r="C25" s="142">
        <v>0</v>
      </c>
      <c r="D25" s="60" t="str">
        <f>F20</f>
        <v>Marokko</v>
      </c>
      <c r="E25" s="61" t="s">
        <v>5</v>
      </c>
      <c r="F25" s="60" t="str">
        <f>D21</f>
        <v>Haïti</v>
      </c>
      <c r="G25" s="17"/>
      <c r="H25" s="79" t="s">
        <v>5</v>
      </c>
      <c r="I25" s="17"/>
      <c r="J25" s="19">
        <f t="shared" si="27"/>
        <v>0</v>
      </c>
      <c r="K25" s="68"/>
      <c r="L25" s="156"/>
      <c r="M25" s="163"/>
      <c r="N25" s="236" t="s">
        <v>210</v>
      </c>
      <c r="O25" s="237"/>
      <c r="P25" s="237"/>
      <c r="Q25" s="237"/>
      <c r="R25" s="237"/>
      <c r="S25" s="237"/>
      <c r="T25" s="237"/>
      <c r="U25" s="237"/>
      <c r="V25" s="238"/>
      <c r="W25" s="69"/>
      <c r="X25" s="66"/>
      <c r="Y25" s="4"/>
      <c r="Z25" s="9"/>
      <c r="AA25" s="4"/>
      <c r="AB25" s="4"/>
      <c r="AC25" s="4"/>
      <c r="AD25" s="4"/>
      <c r="AE25" s="4"/>
      <c r="AF25" s="4"/>
      <c r="AG25" s="92"/>
      <c r="AH25" s="92" t="str">
        <f>IF(Inschrijving!G25="","",Inschrijving!D25)</f>
        <v/>
      </c>
      <c r="AI25" s="92" t="str">
        <f>IF(Inschrijving!G25="","",IF(Inschrijving!G25&gt;Inschrijving!I25,1,0))</f>
        <v/>
      </c>
      <c r="AJ25" s="92" t="str">
        <f>IF(Inschrijving!G25="","",IF(Inschrijving!G25&lt;Inschrijving!I25,1,0))</f>
        <v/>
      </c>
      <c r="AK25" s="92" t="str">
        <f>IF(Inschrijving!G25="","",IF(Inschrijving!G25=Inschrijving!I25,1,0))</f>
        <v/>
      </c>
      <c r="AL25" s="92" t="str">
        <f>IF(Inschrijving!I25="","",Inschrijving!F25)</f>
        <v/>
      </c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/>
      <c r="BC25"/>
      <c r="BD25" s="4"/>
      <c r="BE25"/>
      <c r="BF25" s="214" t="str">
        <f>Groepsloting!B261</f>
        <v>Kaapverdië</v>
      </c>
      <c r="BG25" s="152">
        <v>69</v>
      </c>
      <c r="BH25" s="96" t="s">
        <v>758</v>
      </c>
      <c r="BI25"/>
    </row>
    <row r="26" spans="1:61" s="90" customFormat="1" ht="14.25" customHeight="1" x14ac:dyDescent="0.2">
      <c r="A26" s="127"/>
      <c r="B26" s="178"/>
      <c r="C26" s="179"/>
      <c r="D26" s="20"/>
      <c r="E26" s="20"/>
      <c r="F26" s="20"/>
      <c r="G26" s="180"/>
      <c r="H26" s="181"/>
      <c r="I26" s="180"/>
      <c r="J26" s="182"/>
      <c r="K26" s="68"/>
      <c r="L26" s="156"/>
      <c r="M26" s="163" t="str">
        <f>Groepsloting!$B$185</f>
        <v>5. Wie wordt topscoorder van het toernooi?  (5 punten)</v>
      </c>
      <c r="N26" s="20"/>
      <c r="O26" s="20"/>
      <c r="P26" s="20"/>
      <c r="Q26" s="20"/>
      <c r="R26" s="20"/>
      <c r="S26" s="20"/>
      <c r="T26" s="20"/>
      <c r="U26" s="20"/>
      <c r="V26" s="20"/>
      <c r="W26" s="69"/>
      <c r="X26" s="66"/>
      <c r="Y26" s="15"/>
      <c r="Z26" s="15" t="s">
        <v>9</v>
      </c>
      <c r="AA26" s="16" t="s">
        <v>19</v>
      </c>
      <c r="AB26" s="16" t="s">
        <v>20</v>
      </c>
      <c r="AC26" s="16" t="s">
        <v>21</v>
      </c>
      <c r="AD26" s="16" t="s">
        <v>22</v>
      </c>
      <c r="AE26" s="16" t="s">
        <v>23</v>
      </c>
      <c r="AF26" s="4"/>
      <c r="AG26" s="92"/>
      <c r="AH26" s="92"/>
      <c r="AI26" s="92"/>
      <c r="AJ26" s="92"/>
      <c r="AK26" s="92"/>
      <c r="AL26" s="92"/>
      <c r="AM26" s="4"/>
      <c r="AN26" s="4"/>
      <c r="AO26" s="94"/>
      <c r="AP26" s="94" t="s">
        <v>72</v>
      </c>
      <c r="AQ26" s="95" t="s">
        <v>61</v>
      </c>
      <c r="AR26" s="95" t="s">
        <v>68</v>
      </c>
      <c r="AS26" s="95" t="s">
        <v>65</v>
      </c>
      <c r="AT26" s="95" t="s">
        <v>66</v>
      </c>
      <c r="AU26" s="95" t="s">
        <v>67</v>
      </c>
      <c r="AV26" s="95" t="s">
        <v>62</v>
      </c>
      <c r="AW26" s="95" t="s">
        <v>63</v>
      </c>
      <c r="AX26" s="95" t="s">
        <v>64</v>
      </c>
      <c r="AY26" s="95"/>
      <c r="AZ26" s="94"/>
      <c r="BA26" s="94"/>
      <c r="BB26"/>
      <c r="BC26"/>
      <c r="BD26" s="94"/>
      <c r="BE26" s="91" t="str">
        <f>Groepsloting!B25</f>
        <v>Groep E</v>
      </c>
      <c r="BF26" s="214" t="str">
        <f>Groepsloting!B262</f>
        <v>Kroatië</v>
      </c>
      <c r="BG26" s="152">
        <v>11</v>
      </c>
      <c r="BH26" s="96" t="s">
        <v>740</v>
      </c>
      <c r="BI26"/>
    </row>
    <row r="27" spans="1:61" s="90" customFormat="1" ht="14.25" customHeight="1" x14ac:dyDescent="0.2">
      <c r="A27" s="127"/>
      <c r="B27" s="62" t="str">
        <f>Groepsloting!$B$19</f>
        <v>Groep D</v>
      </c>
      <c r="C27" s="131"/>
      <c r="D27" s="58" t="str">
        <f>Groepsloting!$B$119</f>
        <v>Wedstrijd</v>
      </c>
      <c r="E27" s="59"/>
      <c r="F27" s="58"/>
      <c r="G27" s="58"/>
      <c r="H27" s="192" t="str">
        <f>Groepsloting!$B$120</f>
        <v>Uitslag</v>
      </c>
      <c r="I27" s="58"/>
      <c r="J27" s="64" t="str">
        <f>Groepsloting!$B$121</f>
        <v>Toto</v>
      </c>
      <c r="K27" s="68"/>
      <c r="L27" s="162"/>
      <c r="M27" s="163"/>
      <c r="N27" s="236"/>
      <c r="O27" s="237"/>
      <c r="P27" s="237"/>
      <c r="Q27" s="237"/>
      <c r="R27" s="237"/>
      <c r="S27" s="237"/>
      <c r="T27" s="237"/>
      <c r="U27" s="237"/>
      <c r="V27" s="238"/>
      <c r="W27" s="69"/>
      <c r="X27" s="66"/>
      <c r="Y27" s="11">
        <v>1</v>
      </c>
      <c r="Z27" s="12" t="str">
        <f t="shared" ref="Z27:AE27" si="34">VLOOKUP($Y27,$AO$35:$AX$38,AP$1,0)</f>
        <v>Duitsland</v>
      </c>
      <c r="AA27" s="12">
        <f t="shared" si="34"/>
        <v>0</v>
      </c>
      <c r="AB27" s="12">
        <f t="shared" si="34"/>
        <v>0</v>
      </c>
      <c r="AC27" s="12">
        <f t="shared" si="34"/>
        <v>0</v>
      </c>
      <c r="AD27" s="12">
        <f t="shared" si="34"/>
        <v>0</v>
      </c>
      <c r="AE27" s="12">
        <f t="shared" si="34"/>
        <v>0</v>
      </c>
      <c r="AF27" s="13"/>
      <c r="AG27" s="92" t="s">
        <v>72</v>
      </c>
      <c r="AH27" s="93" t="s">
        <v>57</v>
      </c>
      <c r="AI27" s="93"/>
      <c r="AJ27" s="93"/>
      <c r="AK27" s="93"/>
      <c r="AL27" s="93" t="s">
        <v>59</v>
      </c>
      <c r="AM27" s="4"/>
      <c r="AN27" s="4" t="str">
        <f>AP26&amp;AO27</f>
        <v>D1</v>
      </c>
      <c r="AO27" s="94">
        <f>RANK(AZ27,$AZ$27:$AZ$30,1)</f>
        <v>1</v>
      </c>
      <c r="AP27" s="94" t="str">
        <f>Groepsloting!B20</f>
        <v>Verenigde Staten</v>
      </c>
      <c r="AQ27" s="95">
        <f>COUNTIF(AH$2:AH$98,AP27)+COUNTIF(AL$2:AL$98,AP27)</f>
        <v>0</v>
      </c>
      <c r="AR27" s="95">
        <f>AV27*3+AW27</f>
        <v>0</v>
      </c>
      <c r="AS27" s="95">
        <f>SUMIF($D$28:$D$33,AP27,$G$28:$G$33)+SUMIF($F$28:$F$33,AP27,$I$28:$I$33)</f>
        <v>0</v>
      </c>
      <c r="AT27" s="95">
        <f>SUMIF($D$28:$D$33,AP27,$I$28:$I$33)+SUMIF($F$28:$F$33,AP27,$G$28:$G$33)</f>
        <v>0</v>
      </c>
      <c r="AU27" s="95">
        <f>AS27-AT27</f>
        <v>0</v>
      </c>
      <c r="AV27" s="95">
        <f>SUMIF(AH$2:AH$98,AP27,AI$2:AI$98)+SUMIF(AL$2:AL$98,AP27,AJ$2:AJ$98)</f>
        <v>0</v>
      </c>
      <c r="AW27" s="95">
        <f>SUMIF(AH$2:AH$98,AP27,AK$2:AK$98)+SUMIF(AL$2:AL$98,AP27,AK$2:AK$98)</f>
        <v>0</v>
      </c>
      <c r="AX27" s="95">
        <f>AQ27-SUM(AV27:AW27)</f>
        <v>0</v>
      </c>
      <c r="AY27" s="95"/>
      <c r="AZ27" s="94">
        <f>RANK(AR27,$AR$27:$AR$30)+RANK(AU27,$AU$27:$AU$30)/10+RANK(AS27,$AS$27:$AS$30,0)/100+RANK(AQ27,$AQ$27:$AQ$30,1)/500+VLOOKUP(AP27,$BF$3:$BG$50,2,0)/10000</f>
        <v>1.1136000000000001</v>
      </c>
      <c r="BA27" s="151"/>
      <c r="BB27"/>
      <c r="BC27" s="94"/>
      <c r="BD27" s="94"/>
      <c r="BE27" t="str">
        <f>Groepsloting!B26</f>
        <v>Duitsland</v>
      </c>
      <c r="BF27" s="214" t="str">
        <f>Groepsloting!B263</f>
        <v>Marokko</v>
      </c>
      <c r="BG27" s="152">
        <v>8</v>
      </c>
      <c r="BH27" s="96" t="s">
        <v>759</v>
      </c>
      <c r="BI27"/>
    </row>
    <row r="28" spans="1:61" s="90" customFormat="1" ht="14.25" customHeight="1" x14ac:dyDescent="0.2">
      <c r="A28" s="127">
        <v>4</v>
      </c>
      <c r="B28" s="143" t="s">
        <v>473</v>
      </c>
      <c r="C28" s="142">
        <v>0.125</v>
      </c>
      <c r="D28" s="60" t="str">
        <f>Groepsloting!B20</f>
        <v>Verenigde Staten</v>
      </c>
      <c r="E28" s="61" t="s">
        <v>5</v>
      </c>
      <c r="F28" s="60" t="str">
        <f>Groepsloting!B21</f>
        <v>Paraguay</v>
      </c>
      <c r="G28" s="17"/>
      <c r="H28" s="79" t="s">
        <v>5</v>
      </c>
      <c r="I28" s="17"/>
      <c r="J28" s="19">
        <f t="shared" ref="J28:J33" si="35">IF(AND(G28="",I28=""),0,IF(G28&gt;I28,1,IF(G28&lt;I28,2,3)))</f>
        <v>0</v>
      </c>
      <c r="K28" s="68"/>
      <c r="L28" s="156"/>
      <c r="M28" s="163" t="str">
        <f>Groepsloting!$B$186</f>
        <v>6. Hoeveel doelpunten worden er in het toernooi gescoord?  (range ±5=5pnt)</v>
      </c>
      <c r="N28" s="20"/>
      <c r="O28" s="20"/>
      <c r="P28" s="20"/>
      <c r="Q28" s="20"/>
      <c r="R28" s="20"/>
      <c r="S28" s="20"/>
      <c r="T28" s="20"/>
      <c r="U28" s="20"/>
      <c r="V28" s="20"/>
      <c r="W28" s="69"/>
      <c r="X28" s="66"/>
      <c r="Y28" s="11">
        <v>2</v>
      </c>
      <c r="Z28" s="12" t="str">
        <f t="shared" ref="Z28:Z30" si="36">VLOOKUP($Y28,$AO$35:$AX$38,AP$1,0)</f>
        <v>Ecuador</v>
      </c>
      <c r="AA28" s="12">
        <f t="shared" ref="AA28:AE30" si="37">VLOOKUP($Y28,$AO$35:$AX$38,AQ$1,0)</f>
        <v>0</v>
      </c>
      <c r="AB28" s="12">
        <f t="shared" si="37"/>
        <v>0</v>
      </c>
      <c r="AC28" s="12">
        <f t="shared" si="37"/>
        <v>0</v>
      </c>
      <c r="AD28" s="12">
        <f t="shared" si="37"/>
        <v>0</v>
      </c>
      <c r="AE28" s="12">
        <f t="shared" si="37"/>
        <v>0</v>
      </c>
      <c r="AF28" s="13"/>
      <c r="AG28" s="92"/>
      <c r="AH28" s="92" t="str">
        <f>IF(Inschrijving!G28="","",Inschrijving!D28)</f>
        <v/>
      </c>
      <c r="AI28" s="92" t="str">
        <f>IF(Inschrijving!G28="","",IF(Inschrijving!G28&gt;Inschrijving!I28,1,0))</f>
        <v/>
      </c>
      <c r="AJ28" s="92" t="str">
        <f>IF(Inschrijving!G28="","",IF(Inschrijving!G28&lt;Inschrijving!I28,1,0))</f>
        <v/>
      </c>
      <c r="AK28" s="92" t="str">
        <f>IF(Inschrijving!G28="","",IF(Inschrijving!G28=Inschrijving!I28,1,0))</f>
        <v/>
      </c>
      <c r="AL28" s="92" t="str">
        <f>IF(Inschrijving!I28="","",Inschrijving!F28)</f>
        <v/>
      </c>
      <c r="AM28" s="4"/>
      <c r="AN28" s="4" t="str">
        <f>AP26&amp;AO28</f>
        <v>D4</v>
      </c>
      <c r="AO28" s="94">
        <f>RANK(AZ28,$AZ$27:$AZ$30,1)</f>
        <v>4</v>
      </c>
      <c r="AP28" s="94" t="str">
        <f>Groepsloting!B21</f>
        <v>Paraguay</v>
      </c>
      <c r="AQ28" s="95">
        <f>COUNTIF(AH$2:AH$98,AP28)+COUNTIF(AL$2:AL$98,AP28)</f>
        <v>0</v>
      </c>
      <c r="AR28" s="95">
        <f>AV28*3+AW28</f>
        <v>0</v>
      </c>
      <c r="AS28" s="95">
        <f t="shared" ref="AS28:AS30" si="38">SUMIF($D$28:$D$33,AP28,$G$28:$G$33)+SUMIF($F$28:$F$33,AP28,$I$28:$I$33)</f>
        <v>0</v>
      </c>
      <c r="AT28" s="95">
        <f t="shared" ref="AT28:AT30" si="39">SUMIF($D$28:$D$33,AP28,$I$28:$I$33)+SUMIF($F$28:$F$33,AP28,$G$28:$G$33)</f>
        <v>0</v>
      </c>
      <c r="AU28" s="95">
        <f>AS28-AT28</f>
        <v>0</v>
      </c>
      <c r="AV28" s="95">
        <f>SUMIF(AH$2:AH$98,AP28,AI$2:AI$98)+SUMIF(AL$2:AL$98,AP28,AJ$2:AJ$98)</f>
        <v>0</v>
      </c>
      <c r="AW28" s="95">
        <f>SUMIF(AH$2:AH$98,AP28,AK$2:AK$98)+SUMIF(AL$2:AL$98,AP28,AK$2:AK$98)</f>
        <v>0</v>
      </c>
      <c r="AX28" s="95">
        <f>AQ28-SUM(AV28:AW28)</f>
        <v>0</v>
      </c>
      <c r="AY28" s="95"/>
      <c r="AZ28" s="94">
        <f t="shared" ref="AZ28:AZ29" si="40">RANK(AR28,$AR$27:$AR$30)+RANK(AU28,$AU$27:$AU$30)/10+RANK(AS28,$AS$27:$AS$30,0)/100+RANK(AQ28,$AQ$27:$AQ$30,1)/500+VLOOKUP(AP28,$BF$3:$BG$50,2,0)/10000</f>
        <v>1.1160000000000001</v>
      </c>
      <c r="BA28" s="151"/>
      <c r="BB28"/>
      <c r="BC28" s="94"/>
      <c r="BD28" s="94"/>
      <c r="BE28" t="str">
        <f>Groepsloting!B27</f>
        <v>Curaçao</v>
      </c>
      <c r="BF28" s="214" t="str">
        <f>Groepsloting!B264</f>
        <v>Mexico</v>
      </c>
      <c r="BG28" s="152">
        <v>15</v>
      </c>
      <c r="BH28" s="96" t="s">
        <v>408</v>
      </c>
      <c r="BI28"/>
    </row>
    <row r="29" spans="1:61" s="90" customFormat="1" ht="14.25" customHeight="1" x14ac:dyDescent="0.2">
      <c r="A29" s="127">
        <v>6</v>
      </c>
      <c r="B29" s="143" t="s">
        <v>473</v>
      </c>
      <c r="C29" s="142">
        <v>0.25</v>
      </c>
      <c r="D29" s="60" t="str">
        <f>Groepsloting!B22</f>
        <v>Australië</v>
      </c>
      <c r="E29" s="61" t="s">
        <v>5</v>
      </c>
      <c r="F29" s="60" t="str">
        <f>Groepsloting!B23</f>
        <v>Turkije</v>
      </c>
      <c r="G29" s="17"/>
      <c r="H29" s="79" t="s">
        <v>5</v>
      </c>
      <c r="I29" s="17"/>
      <c r="J29" s="19">
        <f t="shared" si="35"/>
        <v>0</v>
      </c>
      <c r="K29" s="87"/>
      <c r="L29" s="156"/>
      <c r="M29" s="163"/>
      <c r="N29" s="236"/>
      <c r="O29" s="237"/>
      <c r="P29" s="237"/>
      <c r="Q29" s="237"/>
      <c r="R29" s="237"/>
      <c r="S29" s="237"/>
      <c r="T29" s="237"/>
      <c r="U29" s="237"/>
      <c r="V29" s="238"/>
      <c r="W29" s="69"/>
      <c r="X29" s="66"/>
      <c r="Y29" s="11">
        <v>3</v>
      </c>
      <c r="Z29" s="12" t="str">
        <f t="shared" si="36"/>
        <v>Ivoorkust</v>
      </c>
      <c r="AA29" s="12">
        <f t="shared" si="37"/>
        <v>0</v>
      </c>
      <c r="AB29" s="12">
        <f t="shared" si="37"/>
        <v>0</v>
      </c>
      <c r="AC29" s="12">
        <f t="shared" si="37"/>
        <v>0</v>
      </c>
      <c r="AD29" s="12">
        <f t="shared" si="37"/>
        <v>0</v>
      </c>
      <c r="AE29" s="12">
        <f t="shared" si="37"/>
        <v>0</v>
      </c>
      <c r="AF29" s="13"/>
      <c r="AG29" s="92"/>
      <c r="AH29" s="92" t="str">
        <f>IF(Inschrijving!G29="","",Inschrijving!D29)</f>
        <v/>
      </c>
      <c r="AI29" s="92" t="str">
        <f>IF(Inschrijving!G29="","",IF(Inschrijving!G29&gt;Inschrijving!I29,1,0))</f>
        <v/>
      </c>
      <c r="AJ29" s="92" t="str">
        <f>IF(Inschrijving!G29="","",IF(Inschrijving!G29&lt;Inschrijving!I29,1,0))</f>
        <v/>
      </c>
      <c r="AK29" s="92" t="str">
        <f>IF(Inschrijving!G29="","",IF(Inschrijving!G29=Inschrijving!I29,1,0))</f>
        <v/>
      </c>
      <c r="AL29" s="92" t="str">
        <f>IF(Inschrijving!I29="","",Inschrijving!F29)</f>
        <v/>
      </c>
      <c r="AM29" s="4"/>
      <c r="AN29" s="4" t="str">
        <f>AP26&amp;AO29</f>
        <v>D3</v>
      </c>
      <c r="AO29" s="94">
        <f>RANK(AZ29,$AZ$27:$AZ$30,1)</f>
        <v>3</v>
      </c>
      <c r="AP29" s="94" t="str">
        <f>Groepsloting!B22</f>
        <v>Australië</v>
      </c>
      <c r="AQ29" s="95">
        <f>COUNTIF(AH$2:AH$98,AP29)+COUNTIF(AL$2:AL$98,AP29)</f>
        <v>0</v>
      </c>
      <c r="AR29" s="95">
        <f>AV29*3+AW29</f>
        <v>0</v>
      </c>
      <c r="AS29" s="95">
        <f t="shared" si="38"/>
        <v>0</v>
      </c>
      <c r="AT29" s="95">
        <f t="shared" si="39"/>
        <v>0</v>
      </c>
      <c r="AU29" s="95">
        <f>AS29-AT29</f>
        <v>0</v>
      </c>
      <c r="AV29" s="95">
        <f>SUMIF(AH$2:AH$98,AP29,AI$2:AI$98)+SUMIF(AL$2:AL$98,AP29,AJ$2:AJ$98)</f>
        <v>0</v>
      </c>
      <c r="AW29" s="95">
        <f>SUMIF(AH$2:AH$98,AP29,AK$2:AK$98)+SUMIF(AL$2:AL$98,AP29,AK$2:AK$98)</f>
        <v>0</v>
      </c>
      <c r="AX29" s="95">
        <f>AQ29-SUM(AV29:AW29)</f>
        <v>0</v>
      </c>
      <c r="AY29" s="95"/>
      <c r="AZ29" s="94">
        <f t="shared" si="40"/>
        <v>1.1147</v>
      </c>
      <c r="BA29" s="151"/>
      <c r="BB29"/>
      <c r="BC29" s="94"/>
      <c r="BD29" s="94"/>
      <c r="BE29" t="str">
        <f>Groepsloting!B28</f>
        <v>Ivoorkust</v>
      </c>
      <c r="BF29" s="214" t="str">
        <f>Groepsloting!B266</f>
        <v>Nederland</v>
      </c>
      <c r="BG29" s="152">
        <v>7</v>
      </c>
      <c r="BH29" s="96"/>
    </row>
    <row r="30" spans="1:61" s="90" customFormat="1" ht="14.25" customHeight="1" x14ac:dyDescent="0.2">
      <c r="A30" s="127">
        <v>31</v>
      </c>
      <c r="B30" s="143" t="s">
        <v>478</v>
      </c>
      <c r="C30" s="142">
        <v>0.20833333333333334</v>
      </c>
      <c r="D30" s="60" t="str">
        <f>F29</f>
        <v>Turkije</v>
      </c>
      <c r="E30" s="61" t="s">
        <v>5</v>
      </c>
      <c r="F30" s="60" t="str">
        <f>F28</f>
        <v>Paraguay</v>
      </c>
      <c r="G30" s="17"/>
      <c r="H30" s="79" t="s">
        <v>5</v>
      </c>
      <c r="I30" s="17"/>
      <c r="J30" s="19">
        <f t="shared" si="35"/>
        <v>0</v>
      </c>
      <c r="K30" s="68"/>
      <c r="L30" s="162"/>
      <c r="M30" s="163" t="str">
        <f>Groepsloting!$B$187</f>
        <v>7. Hoeveel gele kaarten vallen er in het toernooi?   (range ±5=5pnt)</v>
      </c>
      <c r="N30" s="20"/>
      <c r="O30" s="20"/>
      <c r="P30" s="20"/>
      <c r="Q30" s="20"/>
      <c r="R30" s="20"/>
      <c r="S30" s="20"/>
      <c r="T30" s="20"/>
      <c r="U30" s="20"/>
      <c r="V30" s="20"/>
      <c r="W30" s="69"/>
      <c r="X30" s="66"/>
      <c r="Y30" s="11">
        <v>4</v>
      </c>
      <c r="Z30" s="12" t="str">
        <f t="shared" si="36"/>
        <v>Curaçao</v>
      </c>
      <c r="AA30" s="12">
        <f t="shared" si="37"/>
        <v>0</v>
      </c>
      <c r="AB30" s="12">
        <f t="shared" si="37"/>
        <v>0</v>
      </c>
      <c r="AC30" s="12">
        <f t="shared" si="37"/>
        <v>0</v>
      </c>
      <c r="AD30" s="12">
        <f t="shared" si="37"/>
        <v>0</v>
      </c>
      <c r="AE30" s="12">
        <f t="shared" si="37"/>
        <v>0</v>
      </c>
      <c r="AF30" s="13"/>
      <c r="AG30" s="92"/>
      <c r="AH30" s="92" t="str">
        <f>IF(Inschrijving!G30="","",Inschrijving!D30)</f>
        <v/>
      </c>
      <c r="AI30" s="92" t="str">
        <f>IF(Inschrijving!G30="","",IF(Inschrijving!G30&gt;Inschrijving!I30,1,0))</f>
        <v/>
      </c>
      <c r="AJ30" s="92" t="str">
        <f>IF(Inschrijving!G30="","",IF(Inschrijving!G30&lt;Inschrijving!I30,1,0))</f>
        <v/>
      </c>
      <c r="AK30" s="92" t="str">
        <f>IF(Inschrijving!G30="","",IF(Inschrijving!G30=Inschrijving!I30,1,0))</f>
        <v/>
      </c>
      <c r="AL30" s="92" t="str">
        <f>IF(Inschrijving!I30="","",Inschrijving!F30)</f>
        <v/>
      </c>
      <c r="AM30" s="4"/>
      <c r="AN30" s="4" t="str">
        <f>AP26&amp;AO30</f>
        <v>D2</v>
      </c>
      <c r="AO30" s="94">
        <f>RANK(AZ30,$AZ$27:$AZ$30,1)</f>
        <v>2</v>
      </c>
      <c r="AP30" s="94" t="str">
        <f>Groepsloting!B23</f>
        <v>Turkije</v>
      </c>
      <c r="AQ30" s="95">
        <f>COUNTIF(AH$2:AH$98,AP30)+COUNTIF(AL$2:AL$98,AP30)</f>
        <v>0</v>
      </c>
      <c r="AR30" s="95">
        <f>AV30*3+AW30</f>
        <v>0</v>
      </c>
      <c r="AS30" s="95">
        <f t="shared" si="38"/>
        <v>0</v>
      </c>
      <c r="AT30" s="95">
        <f t="shared" si="39"/>
        <v>0</v>
      </c>
      <c r="AU30" s="95">
        <f>AS30-AT30</f>
        <v>0</v>
      </c>
      <c r="AV30" s="95">
        <f>SUMIF(AH$2:AH$98,AP30,AI$2:AI$98)+SUMIF(AL$2:AL$98,AP30,AJ$2:AJ$98)</f>
        <v>0</v>
      </c>
      <c r="AW30" s="95">
        <f>SUMIF(AH$2:AH$98,AP30,AK$2:AK$98)+SUMIF(AL$2:AL$98,AP30,AK$2:AK$98)</f>
        <v>0</v>
      </c>
      <c r="AX30" s="95">
        <f>AQ30-SUM(AV30:AW30)</f>
        <v>0</v>
      </c>
      <c r="AY30" s="95"/>
      <c r="AZ30" s="94">
        <f>RANK(AR30,$AR$27:$AR$30)+RANK(AU30,$AU$27:$AU$30)/10+RANK(AS30,$AS$27:$AS$30,0)/100+RANK(AQ30,$AQ$27:$AQ$30,1)/500+VLOOKUP(AP30,$BF$3:$BG$50,2,0)/10000</f>
        <v>1.1142000000000001</v>
      </c>
      <c r="BA30" s="151"/>
      <c r="BB30"/>
      <c r="BC30" s="94"/>
      <c r="BD30" s="94"/>
      <c r="BE30" t="str">
        <f>Groepsloting!B29</f>
        <v>Ecuador</v>
      </c>
      <c r="BF30" s="214" t="str">
        <f>Groepsloting!B268</f>
        <v>Nieuw-Zeeland</v>
      </c>
      <c r="BG30" s="152">
        <v>85</v>
      </c>
      <c r="BH30"/>
    </row>
    <row r="31" spans="1:61" s="90" customFormat="1" ht="14.25" customHeight="1" x14ac:dyDescent="0.2">
      <c r="A31" s="127">
        <v>32</v>
      </c>
      <c r="B31" s="143" t="s">
        <v>471</v>
      </c>
      <c r="C31" s="142">
        <v>0.875</v>
      </c>
      <c r="D31" s="60" t="str">
        <f>D28</f>
        <v>Verenigde Staten</v>
      </c>
      <c r="E31" s="61" t="s">
        <v>5</v>
      </c>
      <c r="F31" s="60" t="str">
        <f>D29</f>
        <v>Australië</v>
      </c>
      <c r="G31" s="17"/>
      <c r="H31" s="79" t="s">
        <v>5</v>
      </c>
      <c r="I31" s="17"/>
      <c r="J31" s="19">
        <f t="shared" si="35"/>
        <v>0</v>
      </c>
      <c r="K31" s="68"/>
      <c r="L31" s="156"/>
      <c r="M31" s="67"/>
      <c r="N31" s="236"/>
      <c r="O31" s="237"/>
      <c r="P31" s="237"/>
      <c r="Q31" s="237"/>
      <c r="R31" s="237"/>
      <c r="S31" s="237"/>
      <c r="T31" s="237"/>
      <c r="U31" s="237"/>
      <c r="V31" s="238"/>
      <c r="W31" s="69"/>
      <c r="X31" s="66"/>
      <c r="Y31" s="4"/>
      <c r="Z31" s="9"/>
      <c r="AA31" s="4"/>
      <c r="AB31" s="14"/>
      <c r="AC31" s="4"/>
      <c r="AD31" s="4"/>
      <c r="AE31" s="4"/>
      <c r="AF31" s="4"/>
      <c r="AG31" s="92"/>
      <c r="AH31" s="92" t="str">
        <f>IF(Inschrijving!G31="","",Inschrijving!D31)</f>
        <v/>
      </c>
      <c r="AI31" s="92" t="str">
        <f>IF(Inschrijving!G31="","",IF(Inschrijving!G31&gt;Inschrijving!I31,1,0))</f>
        <v/>
      </c>
      <c r="AJ31" s="92" t="str">
        <f>IF(Inschrijving!G31="","",IF(Inschrijving!G31&lt;Inschrijving!I31,1,0))</f>
        <v/>
      </c>
      <c r="AK31" s="92" t="str">
        <f>IF(Inschrijving!G31="","",IF(Inschrijving!G31=Inschrijving!I31,1,0))</f>
        <v/>
      </c>
      <c r="AL31" s="92" t="str">
        <f>IF(Inschrijving!I31="","",Inschrijving!F31)</f>
        <v/>
      </c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/>
      <c r="BC31"/>
      <c r="BD31" s="4"/>
      <c r="BE31"/>
      <c r="BF31" s="214" t="str">
        <f>Groepsloting!B269</f>
        <v>Noorwegen</v>
      </c>
      <c r="BG31" s="152">
        <v>31</v>
      </c>
      <c r="BH31"/>
    </row>
    <row r="32" spans="1:61" s="90" customFormat="1" ht="14.25" customHeight="1" x14ac:dyDescent="0.2">
      <c r="A32" s="127">
        <v>59</v>
      </c>
      <c r="B32" s="143" t="s">
        <v>475</v>
      </c>
      <c r="C32" s="142">
        <v>0.16666666666666666</v>
      </c>
      <c r="D32" s="60" t="str">
        <f>F29</f>
        <v>Turkije</v>
      </c>
      <c r="E32" s="61" t="s">
        <v>5</v>
      </c>
      <c r="F32" s="60" t="str">
        <f>D28</f>
        <v>Verenigde Staten</v>
      </c>
      <c r="G32" s="17"/>
      <c r="H32" s="79" t="s">
        <v>5</v>
      </c>
      <c r="I32" s="17"/>
      <c r="J32" s="19">
        <f t="shared" si="35"/>
        <v>0</v>
      </c>
      <c r="K32" s="68"/>
      <c r="L32" s="156"/>
      <c r="M32" s="163" t="str">
        <f>Groepsloting!$B$188</f>
        <v>8. Wie scoort het eerste doelpunt voor Nederland?  (5 punten)</v>
      </c>
      <c r="N32" s="20"/>
      <c r="O32" s="20"/>
      <c r="P32" s="20"/>
      <c r="Q32" s="20"/>
      <c r="R32" s="20"/>
      <c r="S32" s="20"/>
      <c r="T32" s="20"/>
      <c r="U32" s="20"/>
      <c r="V32" s="20"/>
      <c r="W32" s="69"/>
      <c r="X32" s="66"/>
      <c r="Y32" s="15"/>
      <c r="Z32" s="15" t="s">
        <v>10</v>
      </c>
      <c r="AA32" s="16" t="s">
        <v>19</v>
      </c>
      <c r="AB32" s="16" t="s">
        <v>20</v>
      </c>
      <c r="AC32" s="16" t="s">
        <v>21</v>
      </c>
      <c r="AD32" s="16" t="s">
        <v>22</v>
      </c>
      <c r="AE32" s="16" t="s">
        <v>23</v>
      </c>
      <c r="AF32" s="4"/>
      <c r="AG32" s="92"/>
      <c r="AH32" s="92" t="str">
        <f>IF(Inschrijving!G32="","",Inschrijving!D32)</f>
        <v/>
      </c>
      <c r="AI32" s="92" t="str">
        <f>IF(Inschrijving!G32="","",IF(Inschrijving!G32&gt;Inschrijving!I32,1,0))</f>
        <v/>
      </c>
      <c r="AJ32" s="92" t="str">
        <f>IF(Inschrijving!G32="","",IF(Inschrijving!G32&lt;Inschrijving!I32,1,0))</f>
        <v/>
      </c>
      <c r="AK32" s="92" t="str">
        <f>IF(Inschrijving!G32="","",IF(Inschrijving!G32=Inschrijving!I32,1,0))</f>
        <v/>
      </c>
      <c r="AL32" s="92" t="str">
        <f>IF(Inschrijving!I32="","",Inschrijving!F32)</f>
        <v/>
      </c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/>
      <c r="BC32"/>
      <c r="BD32" s="4"/>
      <c r="BE32" s="91" t="str">
        <f>Groepsloting!B31</f>
        <v>Groep F</v>
      </c>
      <c r="BF32" s="214" t="str">
        <f>Groepsloting!B270</f>
        <v>Oezbekistan</v>
      </c>
      <c r="BG32" s="152">
        <v>50</v>
      </c>
      <c r="BH32"/>
    </row>
    <row r="33" spans="1:60" s="90" customFormat="1" ht="14.25" customHeight="1" x14ac:dyDescent="0.2">
      <c r="A33" s="127">
        <v>60</v>
      </c>
      <c r="B33" s="143" t="s">
        <v>475</v>
      </c>
      <c r="C33" s="142">
        <v>0.16666666666666666</v>
      </c>
      <c r="D33" s="60" t="str">
        <f>F28</f>
        <v>Paraguay</v>
      </c>
      <c r="E33" s="61" t="s">
        <v>5</v>
      </c>
      <c r="F33" s="60" t="str">
        <f>D29</f>
        <v>Australië</v>
      </c>
      <c r="G33" s="17"/>
      <c r="H33" s="79" t="s">
        <v>5</v>
      </c>
      <c r="I33" s="17"/>
      <c r="J33" s="19">
        <f t="shared" si="35"/>
        <v>0</v>
      </c>
      <c r="K33" s="68"/>
      <c r="L33" s="162"/>
      <c r="M33" s="226"/>
      <c r="N33" s="236"/>
      <c r="O33" s="237"/>
      <c r="P33" s="237"/>
      <c r="Q33" s="237"/>
      <c r="R33" s="237"/>
      <c r="S33" s="237"/>
      <c r="T33" s="237"/>
      <c r="U33" s="237"/>
      <c r="V33" s="238"/>
      <c r="W33" s="69"/>
      <c r="X33" s="66"/>
      <c r="Y33" s="11">
        <v>1</v>
      </c>
      <c r="Z33" s="12" t="str">
        <f t="shared" ref="Z33:AE33" si="41">VLOOKUP($Y33,$AO$43:$AX$46,AP$1,0)</f>
        <v>Nederland</v>
      </c>
      <c r="AA33" s="12">
        <f t="shared" si="41"/>
        <v>0</v>
      </c>
      <c r="AB33" s="12">
        <f t="shared" si="41"/>
        <v>0</v>
      </c>
      <c r="AC33" s="12">
        <f t="shared" si="41"/>
        <v>0</v>
      </c>
      <c r="AD33" s="12">
        <f t="shared" si="41"/>
        <v>0</v>
      </c>
      <c r="AE33" s="12">
        <f t="shared" si="41"/>
        <v>0</v>
      </c>
      <c r="AF33" s="13"/>
      <c r="AG33" s="92"/>
      <c r="AH33" s="92" t="str">
        <f>IF(Inschrijving!G33="","",Inschrijving!D33)</f>
        <v/>
      </c>
      <c r="AI33" s="92" t="str">
        <f>IF(Inschrijving!G33="","",IF(Inschrijving!G33&gt;Inschrijving!I33,1,0))</f>
        <v/>
      </c>
      <c r="AJ33" s="92" t="str">
        <f>IF(Inschrijving!G33="","",IF(Inschrijving!G33&lt;Inschrijving!I33,1,0))</f>
        <v/>
      </c>
      <c r="AK33" s="92" t="str">
        <f>IF(Inschrijving!G33="","",IF(Inschrijving!G33=Inschrijving!I33,1,0))</f>
        <v/>
      </c>
      <c r="AL33" s="92" t="str">
        <f>IF(Inschrijving!I33="","",Inschrijving!F33)</f>
        <v/>
      </c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/>
      <c r="BC33"/>
      <c r="BD33" s="4"/>
      <c r="BE33" t="str">
        <f>Groepsloting!B32</f>
        <v>Nederland</v>
      </c>
      <c r="BF33" s="214" t="str">
        <f>Groepsloting!B271</f>
        <v>Oostenrijk</v>
      </c>
      <c r="BG33" s="152">
        <v>24</v>
      </c>
      <c r="BH33"/>
    </row>
    <row r="34" spans="1:60" s="90" customFormat="1" ht="14.25" customHeight="1" x14ac:dyDescent="0.2">
      <c r="A34" s="127"/>
      <c r="B34" s="178"/>
      <c r="C34" s="179"/>
      <c r="D34" s="20"/>
      <c r="E34" s="20"/>
      <c r="F34" s="20"/>
      <c r="G34" s="20"/>
      <c r="H34" s="184"/>
      <c r="I34" s="20"/>
      <c r="J34" s="182"/>
      <c r="K34" s="68"/>
      <c r="L34" s="156"/>
      <c r="M34" s="163" t="str">
        <f>Groepsloting!$B$189</f>
        <v>9. Welke Nederlandse speler krijgt de eerste gele kaart?  (5 punten)</v>
      </c>
      <c r="N34" s="20"/>
      <c r="O34" s="20"/>
      <c r="P34" s="20"/>
      <c r="Q34" s="20"/>
      <c r="R34" s="20"/>
      <c r="S34" s="20"/>
      <c r="T34" s="20"/>
      <c r="U34" s="20"/>
      <c r="V34" s="20"/>
      <c r="W34" s="69"/>
      <c r="X34" s="66"/>
      <c r="Y34" s="11">
        <v>2</v>
      </c>
      <c r="Z34" s="12" t="str">
        <f t="shared" ref="Z34:Z36" si="42">VLOOKUP($Y34,$AO$43:$AX$46,AP$1,0)</f>
        <v>Japan</v>
      </c>
      <c r="AA34" s="12">
        <f t="shared" ref="AA34:AE36" si="43">VLOOKUP($Y34,$AO$43:$AX$46,AQ$1,0)</f>
        <v>0</v>
      </c>
      <c r="AB34" s="12">
        <f t="shared" si="43"/>
        <v>0</v>
      </c>
      <c r="AC34" s="12">
        <f t="shared" si="43"/>
        <v>0</v>
      </c>
      <c r="AD34" s="12">
        <f t="shared" si="43"/>
        <v>0</v>
      </c>
      <c r="AE34" s="12">
        <f t="shared" si="43"/>
        <v>0</v>
      </c>
      <c r="AF34" s="13"/>
      <c r="AG34" s="92"/>
      <c r="AH34" s="92"/>
      <c r="AI34" s="92"/>
      <c r="AJ34" s="92"/>
      <c r="AK34" s="92"/>
      <c r="AL34" s="92"/>
      <c r="AM34" s="4"/>
      <c r="AN34" s="4"/>
      <c r="AO34" s="94"/>
      <c r="AP34" s="94" t="s">
        <v>73</v>
      </c>
      <c r="AQ34" s="95" t="s">
        <v>61</v>
      </c>
      <c r="AR34" s="95" t="s">
        <v>68</v>
      </c>
      <c r="AS34" s="95" t="s">
        <v>65</v>
      </c>
      <c r="AT34" s="95" t="s">
        <v>66</v>
      </c>
      <c r="AU34" s="95" t="s">
        <v>67</v>
      </c>
      <c r="AV34" s="95" t="s">
        <v>62</v>
      </c>
      <c r="AW34" s="95" t="s">
        <v>63</v>
      </c>
      <c r="AX34" s="95" t="s">
        <v>64</v>
      </c>
      <c r="AY34" s="95"/>
      <c r="AZ34" s="94"/>
      <c r="BA34" s="94"/>
      <c r="BB34"/>
      <c r="BC34"/>
      <c r="BD34" s="94"/>
      <c r="BE34" t="str">
        <f>Groepsloting!B33</f>
        <v>Japan</v>
      </c>
      <c r="BF34" s="214" t="str">
        <f>Groepsloting!B272</f>
        <v>Panama</v>
      </c>
      <c r="BG34" s="152">
        <v>33</v>
      </c>
      <c r="BH34"/>
    </row>
    <row r="35" spans="1:60" s="90" customFormat="1" ht="14.25" customHeight="1" x14ac:dyDescent="0.2">
      <c r="A35" s="127"/>
      <c r="B35" s="62" t="str">
        <f>Groepsloting!$B$25</f>
        <v>Groep E</v>
      </c>
      <c r="C35" s="131"/>
      <c r="D35" s="58" t="str">
        <f>Groepsloting!$B$119</f>
        <v>Wedstrijd</v>
      </c>
      <c r="E35" s="59"/>
      <c r="F35" s="58"/>
      <c r="G35" s="58"/>
      <c r="H35" s="192" t="str">
        <f>Groepsloting!$B$120</f>
        <v>Uitslag</v>
      </c>
      <c r="I35" s="58"/>
      <c r="J35" s="64" t="str">
        <f>Groepsloting!$B$121</f>
        <v>Toto</v>
      </c>
      <c r="K35" s="68"/>
      <c r="L35" s="156"/>
      <c r="M35" s="226"/>
      <c r="N35" s="236"/>
      <c r="O35" s="237"/>
      <c r="P35" s="237"/>
      <c r="Q35" s="237"/>
      <c r="R35" s="237"/>
      <c r="S35" s="237"/>
      <c r="T35" s="237"/>
      <c r="U35" s="237"/>
      <c r="V35" s="238"/>
      <c r="W35" s="69"/>
      <c r="X35" s="66"/>
      <c r="Y35" s="11">
        <v>3</v>
      </c>
      <c r="Z35" s="12" t="str">
        <f t="shared" si="42"/>
        <v>Zweden</v>
      </c>
      <c r="AA35" s="12">
        <f t="shared" si="43"/>
        <v>0</v>
      </c>
      <c r="AB35" s="12">
        <f t="shared" si="43"/>
        <v>0</v>
      </c>
      <c r="AC35" s="12">
        <f t="shared" si="43"/>
        <v>0</v>
      </c>
      <c r="AD35" s="12">
        <f t="shared" si="43"/>
        <v>0</v>
      </c>
      <c r="AE35" s="12">
        <f t="shared" si="43"/>
        <v>0</v>
      </c>
      <c r="AF35" s="13"/>
      <c r="AG35" s="92" t="s">
        <v>73</v>
      </c>
      <c r="AH35" s="93" t="s">
        <v>57</v>
      </c>
      <c r="AI35" s="93"/>
      <c r="AJ35" s="93"/>
      <c r="AK35" s="93"/>
      <c r="AL35" s="93" t="s">
        <v>59</v>
      </c>
      <c r="AM35" s="4"/>
      <c r="AN35" s="4" t="str">
        <f>AP34&amp;AO35</f>
        <v>E1</v>
      </c>
      <c r="AO35" s="94">
        <f>RANK(AZ35,$AZ$35:$AZ$38,1)</f>
        <v>1</v>
      </c>
      <c r="AP35" s="94" t="str">
        <f>Groepsloting!B26</f>
        <v>Duitsland</v>
      </c>
      <c r="AQ35" s="95">
        <f>COUNTIF(AH$2:AH$98,AP35)+COUNTIF(AL$2:AL$98,AP35)</f>
        <v>0</v>
      </c>
      <c r="AR35" s="95">
        <f>AV35*3+AW35</f>
        <v>0</v>
      </c>
      <c r="AS35" s="95">
        <f>SUMIF($D$36:$D$41,AP35,$G$36:$G$41)+SUMIF($F$36:$F$41,AP35,$I$36:$I$41)</f>
        <v>0</v>
      </c>
      <c r="AT35" s="95">
        <f>SUMIF($D$36:$D$41,AP35,$I$36:$I$41)+SUMIF($F$36:$F$41,AP35,$G$36:$G$41)</f>
        <v>0</v>
      </c>
      <c r="AU35" s="95">
        <f>AS35-AT35</f>
        <v>0</v>
      </c>
      <c r="AV35" s="95">
        <f>SUMIF(AH$2:AH$98,AP35,AI$2:AI$98)+SUMIF(AL$2:AL$98,AP35,AJ$2:AJ$98)</f>
        <v>0</v>
      </c>
      <c r="AW35" s="95">
        <f>SUMIF(AH$2:AH$98,AP35,AK$2:AK$98)+SUMIF(AL$2:AL$98,AP35,AK$2:AK$98)</f>
        <v>0</v>
      </c>
      <c r="AX35" s="95">
        <f>AQ35-SUM(AV35:AW35)</f>
        <v>0</v>
      </c>
      <c r="AY35" s="95"/>
      <c r="AZ35" s="94">
        <f>RANK(AR35,$AR$35:$AR$38)+RANK(AU35,$AU$35:$AU$38)/10+RANK(AS35,$AS$35:$AS$38,0)/100+RANK(AQ35,$AQ$35:$AQ$38,1)/500+VLOOKUP(AP35,$BF$3:$BG$50,2,0)/10000</f>
        <v>1.113</v>
      </c>
      <c r="BA35" s="151"/>
      <c r="BB35"/>
      <c r="BC35" s="94"/>
      <c r="BD35" s="94"/>
      <c r="BE35" t="str">
        <f>Groepsloting!B34</f>
        <v>Tunesië</v>
      </c>
      <c r="BF35" s="214" t="str">
        <f>Groepsloting!B273</f>
        <v>Paraguay</v>
      </c>
      <c r="BG35" s="152">
        <v>40</v>
      </c>
      <c r="BH35"/>
    </row>
    <row r="36" spans="1:60" s="90" customFormat="1" ht="14.25" customHeight="1" x14ac:dyDescent="0.2">
      <c r="A36" s="127">
        <v>10</v>
      </c>
      <c r="B36" s="143" t="s">
        <v>476</v>
      </c>
      <c r="C36" s="142">
        <v>0.79166666666666663</v>
      </c>
      <c r="D36" s="60" t="str">
        <f>Groepsloting!B26</f>
        <v>Duitsland</v>
      </c>
      <c r="E36" s="61" t="s">
        <v>5</v>
      </c>
      <c r="F36" s="60" t="str">
        <f>Groepsloting!B27</f>
        <v>Curaçao</v>
      </c>
      <c r="G36" s="17"/>
      <c r="H36" s="79" t="s">
        <v>5</v>
      </c>
      <c r="I36" s="17"/>
      <c r="J36" s="19">
        <f t="shared" ref="J36:J41" si="44">IF(AND(G36="",I36=""),0,IF(G36&gt;I36,1,IF(G36&lt;I36,2,3)))</f>
        <v>0</v>
      </c>
      <c r="K36" s="68"/>
      <c r="L36" s="162"/>
      <c r="M36" s="163" t="str">
        <f>Groepsloting!$B$190</f>
        <v>10. Hoeveel doelpunten maakt Nederland in totaal?  (5 punten)</v>
      </c>
      <c r="N36" s="20"/>
      <c r="O36" s="20"/>
      <c r="P36" s="20"/>
      <c r="Q36" s="20"/>
      <c r="R36" s="20"/>
      <c r="S36" s="20"/>
      <c r="T36" s="20"/>
      <c r="U36" s="20"/>
      <c r="V36" s="20"/>
      <c r="W36" s="69"/>
      <c r="X36" s="66"/>
      <c r="Y36" s="11">
        <v>4</v>
      </c>
      <c r="Z36" s="12" t="str">
        <f t="shared" si="42"/>
        <v>Tunesië</v>
      </c>
      <c r="AA36" s="12">
        <f t="shared" si="43"/>
        <v>0</v>
      </c>
      <c r="AB36" s="12">
        <f t="shared" si="43"/>
        <v>0</v>
      </c>
      <c r="AC36" s="12">
        <f t="shared" si="43"/>
        <v>0</v>
      </c>
      <c r="AD36" s="12">
        <f t="shared" si="43"/>
        <v>0</v>
      </c>
      <c r="AE36" s="12">
        <f t="shared" si="43"/>
        <v>0</v>
      </c>
      <c r="AF36" s="13"/>
      <c r="AG36" s="92"/>
      <c r="AH36" s="92" t="str">
        <f>IF(Inschrijving!G36="","",Inschrijving!D36)</f>
        <v/>
      </c>
      <c r="AI36" s="92" t="str">
        <f>IF(Inschrijving!G36="","",IF(Inschrijving!G36&gt;Inschrijving!I36,1,0))</f>
        <v/>
      </c>
      <c r="AJ36" s="92" t="str">
        <f>IF(Inschrijving!G36="","",IF(Inschrijving!G36&lt;Inschrijving!I36,1,0))</f>
        <v/>
      </c>
      <c r="AK36" s="92" t="str">
        <f>IF(Inschrijving!G36="","",IF(Inschrijving!G36=Inschrijving!I36,1,0))</f>
        <v/>
      </c>
      <c r="AL36" s="92" t="str">
        <f>IF(Inschrijving!I36="","",Inschrijving!F36)</f>
        <v/>
      </c>
      <c r="AM36" s="4"/>
      <c r="AN36" s="4" t="str">
        <f>AP34&amp;AO36</f>
        <v>E4</v>
      </c>
      <c r="AO36" s="94">
        <f>RANK(AZ36,$AZ$35:$AZ$38,1)</f>
        <v>4</v>
      </c>
      <c r="AP36" s="94" t="str">
        <f>Groepsloting!B27</f>
        <v>Curaçao</v>
      </c>
      <c r="AQ36" s="95">
        <f>COUNTIF(AH$2:AH$98,AP36)+COUNTIF(AL$2:AL$98,AP36)</f>
        <v>0</v>
      </c>
      <c r="AR36" s="95">
        <f>AV36*3+AW36</f>
        <v>0</v>
      </c>
      <c r="AS36" s="95">
        <f t="shared" ref="AS36:AS38" si="45">SUMIF($D$36:$D$41,AP36,$G$36:$G$41)+SUMIF($F$36:$F$41,AP36,$I$36:$I$41)</f>
        <v>0</v>
      </c>
      <c r="AT36" s="95">
        <f t="shared" ref="AT36:AT38" si="46">SUMIF($D$36:$D$41,AP36,$I$36:$I$41)+SUMIF($F$36:$F$41,AP36,$G$36:$G$41)</f>
        <v>0</v>
      </c>
      <c r="AU36" s="95">
        <f>AS36-AT36</f>
        <v>0</v>
      </c>
      <c r="AV36" s="95">
        <f>SUMIF(AH$2:AH$98,AP36,AI$2:AI$98)+SUMIF(AL$2:AL$98,AP36,AJ$2:AJ$98)</f>
        <v>0</v>
      </c>
      <c r="AW36" s="95">
        <f>SUMIF(AH$2:AH$98,AP36,AK$2:AK$98)+SUMIF(AL$2:AL$98,AP36,AK$2:AK$98)</f>
        <v>0</v>
      </c>
      <c r="AX36" s="95">
        <f>AQ36-SUM(AV36:AW36)</f>
        <v>0</v>
      </c>
      <c r="AY36" s="95"/>
      <c r="AZ36" s="94">
        <f t="shared" ref="AZ36:AZ38" si="47">RANK(AR36,$AR$35:$AR$38)+RANK(AU36,$AU$35:$AU$38)/10+RANK(AS36,$AS$35:$AS$38,0)/100+RANK(AQ36,$AQ$35:$AQ$38,1)/500+VLOOKUP(AP36,$BF$3:$BG$50,2,0)/10000</f>
        <v>1.1202000000000001</v>
      </c>
      <c r="BA36" s="151"/>
      <c r="BB36"/>
      <c r="BC36" s="94"/>
      <c r="BD36" s="94"/>
      <c r="BE36" t="str">
        <f>Groepsloting!B35</f>
        <v>Zweden</v>
      </c>
      <c r="BF36" s="214" t="str">
        <f>Groepsloting!B274</f>
        <v>Portugal</v>
      </c>
      <c r="BG36" s="152">
        <v>5</v>
      </c>
      <c r="BH36"/>
    </row>
    <row r="37" spans="1:60" s="90" customFormat="1" ht="14.25" customHeight="1" x14ac:dyDescent="0.2">
      <c r="A37" s="127">
        <v>9</v>
      </c>
      <c r="B37" s="143" t="s">
        <v>477</v>
      </c>
      <c r="C37" s="142">
        <v>4.1666666666666664E-2</v>
      </c>
      <c r="D37" s="60" t="str">
        <f>Groepsloting!B28</f>
        <v>Ivoorkust</v>
      </c>
      <c r="E37" s="61" t="s">
        <v>5</v>
      </c>
      <c r="F37" s="60" t="str">
        <f>Groepsloting!B29</f>
        <v>Ecuador</v>
      </c>
      <c r="G37" s="17"/>
      <c r="H37" s="79" t="s">
        <v>5</v>
      </c>
      <c r="I37" s="17"/>
      <c r="J37" s="19">
        <f t="shared" si="44"/>
        <v>0</v>
      </c>
      <c r="K37" s="87"/>
      <c r="L37" s="156"/>
      <c r="M37" s="226"/>
      <c r="N37" s="236"/>
      <c r="O37" s="237"/>
      <c r="P37" s="237"/>
      <c r="Q37" s="237"/>
      <c r="R37" s="237"/>
      <c r="S37" s="237"/>
      <c r="T37" s="237"/>
      <c r="U37" s="237"/>
      <c r="V37" s="238"/>
      <c r="W37" s="69"/>
      <c r="X37" s="66"/>
      <c r="Y37" s="4"/>
      <c r="Z37" s="9"/>
      <c r="AA37" s="4"/>
      <c r="AB37" s="4"/>
      <c r="AC37" s="4"/>
      <c r="AD37" s="4"/>
      <c r="AE37" s="4"/>
      <c r="AF37" s="4"/>
      <c r="AG37" s="92"/>
      <c r="AH37" s="92" t="str">
        <f>IF(Inschrijving!G37="","",Inschrijving!D37)</f>
        <v/>
      </c>
      <c r="AI37" s="92" t="str">
        <f>IF(Inschrijving!G37="","",IF(Inschrijving!G37&gt;Inschrijving!I37,1,0))</f>
        <v/>
      </c>
      <c r="AJ37" s="92" t="str">
        <f>IF(Inschrijving!G37="","",IF(Inschrijving!G37&lt;Inschrijving!I37,1,0))</f>
        <v/>
      </c>
      <c r="AK37" s="92" t="str">
        <f>IF(Inschrijving!G37="","",IF(Inschrijving!G37=Inschrijving!I37,1,0))</f>
        <v/>
      </c>
      <c r="AL37" s="92" t="str">
        <f>IF(Inschrijving!I37="","",Inschrijving!F37)</f>
        <v/>
      </c>
      <c r="AM37" s="4"/>
      <c r="AN37" s="4" t="str">
        <f>AP34&amp;AO37</f>
        <v>E3</v>
      </c>
      <c r="AO37" s="94">
        <f>RANK(AZ37,$AZ$35:$AZ$38,1)</f>
        <v>3</v>
      </c>
      <c r="AP37" s="94" t="str">
        <f>Groepsloting!B28</f>
        <v>Ivoorkust</v>
      </c>
      <c r="AQ37" s="95">
        <f>COUNTIF(AH$2:AH$98,AP37)+COUNTIF(AL$2:AL$98,AP37)</f>
        <v>0</v>
      </c>
      <c r="AR37" s="95">
        <f>AV37*3+AW37</f>
        <v>0</v>
      </c>
      <c r="AS37" s="95">
        <f t="shared" si="45"/>
        <v>0</v>
      </c>
      <c r="AT37" s="95">
        <f t="shared" si="46"/>
        <v>0</v>
      </c>
      <c r="AU37" s="95">
        <f>AS37-AT37</f>
        <v>0</v>
      </c>
      <c r="AV37" s="95">
        <f>SUMIF(AH$2:AH$98,AP37,AI$2:AI$98)+SUMIF(AL$2:AL$98,AP37,AJ$2:AJ$98)</f>
        <v>0</v>
      </c>
      <c r="AW37" s="95">
        <f>SUMIF(AH$2:AH$98,AP37,AK$2:AK$98)+SUMIF(AL$2:AL$98,AP37,AK$2:AK$98)</f>
        <v>0</v>
      </c>
      <c r="AX37" s="95">
        <f>AQ37-SUM(AV37:AW37)</f>
        <v>0</v>
      </c>
      <c r="AY37" s="95"/>
      <c r="AZ37" s="94">
        <f t="shared" si="47"/>
        <v>1.1154000000000002</v>
      </c>
      <c r="BA37" s="151"/>
      <c r="BB37"/>
      <c r="BC37" s="94"/>
      <c r="BD37" s="94"/>
      <c r="BE37"/>
      <c r="BF37" s="214" t="str">
        <f>Groepsloting!B275</f>
        <v>Qatar</v>
      </c>
      <c r="BG37" s="152">
        <v>55</v>
      </c>
      <c r="BH37"/>
    </row>
    <row r="38" spans="1:60" s="90" customFormat="1" ht="14.25" customHeight="1" x14ac:dyDescent="0.2">
      <c r="A38" s="127">
        <v>33</v>
      </c>
      <c r="B38" s="143" t="s">
        <v>478</v>
      </c>
      <c r="C38" s="142">
        <v>0.91666666666666663</v>
      </c>
      <c r="D38" s="60" t="str">
        <f>D36</f>
        <v>Duitsland</v>
      </c>
      <c r="E38" s="61" t="s">
        <v>5</v>
      </c>
      <c r="F38" s="60" t="str">
        <f>D37</f>
        <v>Ivoorkust</v>
      </c>
      <c r="G38" s="17"/>
      <c r="H38" s="79" t="s">
        <v>5</v>
      </c>
      <c r="I38" s="17"/>
      <c r="J38" s="19">
        <f>IF(AND(G38="",I38=""),0,IF(G38&gt;I38,1,IF(G38&lt;I38,2,3)))</f>
        <v>0</v>
      </c>
      <c r="K38" s="68"/>
      <c r="L38" s="156"/>
      <c r="M38" s="163" t="str">
        <f>Groepsloting!$B$191</f>
        <v>11. Wie wordt topscoorder van Nederland?  (5 punten)</v>
      </c>
      <c r="N38" s="20"/>
      <c r="O38" s="20"/>
      <c r="P38" s="20"/>
      <c r="Q38" s="20"/>
      <c r="R38" s="20"/>
      <c r="S38" s="20"/>
      <c r="T38" s="20"/>
      <c r="U38" s="20"/>
      <c r="V38" s="20"/>
      <c r="W38" s="69"/>
      <c r="X38" s="66"/>
      <c r="Y38" s="15"/>
      <c r="Z38" s="15" t="s">
        <v>11</v>
      </c>
      <c r="AA38" s="16" t="s">
        <v>19</v>
      </c>
      <c r="AB38" s="16" t="s">
        <v>20</v>
      </c>
      <c r="AC38" s="16" t="s">
        <v>21</v>
      </c>
      <c r="AD38" s="16" t="s">
        <v>22</v>
      </c>
      <c r="AE38" s="16" t="s">
        <v>23</v>
      </c>
      <c r="AF38" s="4"/>
      <c r="AG38" s="92"/>
      <c r="AH38" s="92" t="str">
        <f>IF(Inschrijving!G38="","",Inschrijving!D38)</f>
        <v/>
      </c>
      <c r="AI38" s="92" t="str">
        <f>IF(Inschrijving!G38="","",IF(Inschrijving!G38&gt;Inschrijving!I38,1,0))</f>
        <v/>
      </c>
      <c r="AJ38" s="92" t="str">
        <f>IF(Inschrijving!G38="","",IF(Inschrijving!G38&lt;Inschrijving!I38,1,0))</f>
        <v/>
      </c>
      <c r="AK38" s="92" t="str">
        <f>IF(Inschrijving!G38="","",IF(Inschrijving!G38=Inschrijving!I38,1,0))</f>
        <v/>
      </c>
      <c r="AL38" s="92" t="str">
        <f>IF(Inschrijving!I38="","",Inschrijving!F38)</f>
        <v/>
      </c>
      <c r="AM38" s="4"/>
      <c r="AN38" s="4" t="str">
        <f>AP34&amp;AO38</f>
        <v>E2</v>
      </c>
      <c r="AO38" s="94">
        <f>RANK(AZ38,$AZ$35:$AZ$38,1)</f>
        <v>2</v>
      </c>
      <c r="AP38" s="94" t="str">
        <f>Groepsloting!B29</f>
        <v>Ecuador</v>
      </c>
      <c r="AQ38" s="95">
        <f>COUNTIF(AH$2:AH$98,AP38)+COUNTIF(AL$2:AL$98,AP38)</f>
        <v>0</v>
      </c>
      <c r="AR38" s="95">
        <f>AV38*3+AW38</f>
        <v>0</v>
      </c>
      <c r="AS38" s="95">
        <f t="shared" si="45"/>
        <v>0</v>
      </c>
      <c r="AT38" s="95">
        <f t="shared" si="46"/>
        <v>0</v>
      </c>
      <c r="AU38" s="95">
        <f>AS38-AT38</f>
        <v>0</v>
      </c>
      <c r="AV38" s="95">
        <f>SUMIF(AH$2:AH$98,AP38,AI$2:AI$98)+SUMIF(AL$2:AL$98,AP38,AJ$2:AJ$98)</f>
        <v>0</v>
      </c>
      <c r="AW38" s="95">
        <f>SUMIF(AH$2:AH$98,AP38,AK$2:AK$98)+SUMIF(AL$2:AL$98,AP38,AK$2:AK$98)</f>
        <v>0</v>
      </c>
      <c r="AX38" s="95">
        <f>AQ38-SUM(AV38:AW38)</f>
        <v>0</v>
      </c>
      <c r="AY38" s="95"/>
      <c r="AZ38" s="94">
        <f t="shared" si="47"/>
        <v>1.1143000000000001</v>
      </c>
      <c r="BA38" s="151"/>
      <c r="BB38"/>
      <c r="BC38" s="94"/>
      <c r="BD38" s="94"/>
      <c r="BE38" s="91" t="str">
        <f>Groepsloting!B37</f>
        <v>Groep G</v>
      </c>
      <c r="BF38" s="214" t="str">
        <f>Groepsloting!B276</f>
        <v>Saoedi-Arabië</v>
      </c>
      <c r="BG38" s="152">
        <v>61</v>
      </c>
      <c r="BH38"/>
    </row>
    <row r="39" spans="1:60" s="90" customFormat="1" ht="14.25" customHeight="1" x14ac:dyDescent="0.2">
      <c r="A39" s="127">
        <v>34</v>
      </c>
      <c r="B39" s="143" t="s">
        <v>479</v>
      </c>
      <c r="C39" s="142">
        <v>8.3333333333333329E-2</v>
      </c>
      <c r="D39" s="60" t="str">
        <f>F37</f>
        <v>Ecuador</v>
      </c>
      <c r="E39" s="61" t="s">
        <v>5</v>
      </c>
      <c r="F39" s="60" t="str">
        <f>F36</f>
        <v>Curaçao</v>
      </c>
      <c r="G39" s="17"/>
      <c r="H39" s="79" t="s">
        <v>5</v>
      </c>
      <c r="I39" s="17"/>
      <c r="J39" s="19">
        <f t="shared" si="44"/>
        <v>0</v>
      </c>
      <c r="K39" s="68"/>
      <c r="L39" s="162"/>
      <c r="M39" s="226"/>
      <c r="N39" s="236"/>
      <c r="O39" s="237"/>
      <c r="P39" s="237"/>
      <c r="Q39" s="237"/>
      <c r="R39" s="237"/>
      <c r="S39" s="237"/>
      <c r="T39" s="237"/>
      <c r="U39" s="237"/>
      <c r="V39" s="238"/>
      <c r="W39" s="69"/>
      <c r="X39" s="66"/>
      <c r="Y39" s="11">
        <v>1</v>
      </c>
      <c r="Z39" s="12" t="str">
        <f t="shared" ref="Z39:AE39" si="48">VLOOKUP($Y39,$AO$51:$AX$54,AP$1,0)</f>
        <v>België</v>
      </c>
      <c r="AA39" s="12">
        <f t="shared" si="48"/>
        <v>0</v>
      </c>
      <c r="AB39" s="12">
        <f t="shared" si="48"/>
        <v>0</v>
      </c>
      <c r="AC39" s="12">
        <f t="shared" si="48"/>
        <v>0</v>
      </c>
      <c r="AD39" s="12">
        <f t="shared" si="48"/>
        <v>0</v>
      </c>
      <c r="AE39" s="12">
        <f t="shared" si="48"/>
        <v>0</v>
      </c>
      <c r="AF39" s="13"/>
      <c r="AG39" s="92"/>
      <c r="AH39" s="92" t="str">
        <f>IF(Inschrijving!G39="","",Inschrijving!D39)</f>
        <v/>
      </c>
      <c r="AI39" s="92" t="str">
        <f>IF(Inschrijving!G39="","",IF(Inschrijving!G39&gt;Inschrijving!I39,1,0))</f>
        <v/>
      </c>
      <c r="AJ39" s="92" t="str">
        <f>IF(Inschrijving!G39="","",IF(Inschrijving!G39&lt;Inschrijving!I39,1,0))</f>
        <v/>
      </c>
      <c r="AK39" s="92" t="str">
        <f>IF(Inschrijving!G39="","",IF(Inschrijving!G39=Inschrijving!I39,1,0))</f>
        <v/>
      </c>
      <c r="AL39" s="92" t="str">
        <f>IF(Inschrijving!I39="","",Inschrijving!F39)</f>
        <v/>
      </c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/>
      <c r="BC39"/>
      <c r="BD39" s="4"/>
      <c r="BE39" t="str">
        <f>Groepsloting!B38</f>
        <v>België</v>
      </c>
      <c r="BF39" s="214" t="str">
        <f>Groepsloting!B277</f>
        <v>Schotland</v>
      </c>
      <c r="BG39" s="152">
        <v>43</v>
      </c>
      <c r="BH39"/>
    </row>
    <row r="40" spans="1:60" s="90" customFormat="1" ht="14.25" customHeight="1" x14ac:dyDescent="0.2">
      <c r="A40" s="127">
        <v>55</v>
      </c>
      <c r="B40" s="143" t="s">
        <v>472</v>
      </c>
      <c r="C40" s="142">
        <v>0.91666666666666663</v>
      </c>
      <c r="D40" s="60" t="str">
        <f>F36</f>
        <v>Curaçao</v>
      </c>
      <c r="E40" s="61" t="s">
        <v>5</v>
      </c>
      <c r="F40" s="60" t="str">
        <f>D37</f>
        <v>Ivoorkust</v>
      </c>
      <c r="G40" s="17"/>
      <c r="H40" s="79" t="s">
        <v>5</v>
      </c>
      <c r="I40" s="17"/>
      <c r="J40" s="19">
        <f t="shared" si="44"/>
        <v>0</v>
      </c>
      <c r="K40" s="68"/>
      <c r="L40" s="156"/>
      <c r="M40" s="226"/>
      <c r="N40" s="20"/>
      <c r="O40" s="20"/>
      <c r="P40" s="20"/>
      <c r="Q40" s="20"/>
      <c r="R40" s="20"/>
      <c r="S40" s="20"/>
      <c r="T40" s="20"/>
      <c r="U40" s="20"/>
      <c r="V40" s="20"/>
      <c r="W40" s="69"/>
      <c r="X40" s="66"/>
      <c r="Y40" s="11">
        <v>2</v>
      </c>
      <c r="Z40" s="12" t="str">
        <f t="shared" ref="Z40:Z42" si="49">VLOOKUP($Y40,$AO$51:$AX$54,AP$1,0)</f>
        <v>Iran</v>
      </c>
      <c r="AA40" s="12">
        <f t="shared" ref="AA40:AE42" si="50">VLOOKUP($Y40,$AO$51:$AX$54,AQ$1,0)</f>
        <v>0</v>
      </c>
      <c r="AB40" s="12">
        <f t="shared" si="50"/>
        <v>0</v>
      </c>
      <c r="AC40" s="12">
        <f t="shared" si="50"/>
        <v>0</v>
      </c>
      <c r="AD40" s="12">
        <f t="shared" si="50"/>
        <v>0</v>
      </c>
      <c r="AE40" s="12">
        <f t="shared" si="50"/>
        <v>0</v>
      </c>
      <c r="AF40" s="13"/>
      <c r="AG40" s="92"/>
      <c r="AH40" s="92" t="str">
        <f>IF(Inschrijving!G40="","",Inschrijving!D40)</f>
        <v/>
      </c>
      <c r="AI40" s="92" t="str">
        <f>IF(Inschrijving!G40="","",IF(Inschrijving!G40&gt;Inschrijving!I40,1,0))</f>
        <v/>
      </c>
      <c r="AJ40" s="92" t="str">
        <f>IF(Inschrijving!G40="","",IF(Inschrijving!G40&lt;Inschrijving!I40,1,0))</f>
        <v/>
      </c>
      <c r="AK40" s="92" t="str">
        <f>IF(Inschrijving!G40="","",IF(Inschrijving!G40=Inschrijving!I40,1,0))</f>
        <v/>
      </c>
      <c r="AL40" s="92" t="str">
        <f>IF(Inschrijving!I40="","",Inschrijving!F40)</f>
        <v/>
      </c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/>
      <c r="BC40"/>
      <c r="BD40" s="4"/>
      <c r="BE40" t="str">
        <f>Groepsloting!B39</f>
        <v>Egypte</v>
      </c>
      <c r="BF40" s="214" t="str">
        <f>Groepsloting!B278</f>
        <v>Senegal</v>
      </c>
      <c r="BG40" s="152">
        <v>14</v>
      </c>
      <c r="BH40"/>
    </row>
    <row r="41" spans="1:60" s="90" customFormat="1" ht="14.25" customHeight="1" x14ac:dyDescent="0.25">
      <c r="A41" s="127">
        <v>56</v>
      </c>
      <c r="B41" s="143" t="s">
        <v>472</v>
      </c>
      <c r="C41" s="142">
        <v>0.91666666666666663</v>
      </c>
      <c r="D41" s="60" t="str">
        <f>F37</f>
        <v>Ecuador</v>
      </c>
      <c r="E41" s="61" t="s">
        <v>5</v>
      </c>
      <c r="F41" s="60" t="str">
        <f>D36</f>
        <v>Duitsland</v>
      </c>
      <c r="G41" s="17"/>
      <c r="H41" s="79" t="s">
        <v>5</v>
      </c>
      <c r="I41" s="17"/>
      <c r="J41" s="19">
        <f t="shared" si="44"/>
        <v>0</v>
      </c>
      <c r="K41" s="68"/>
      <c r="L41" s="156"/>
      <c r="M41" s="239" t="str">
        <f>Groepsloting!$B$193</f>
        <v>WK 2026 Puntentelling</v>
      </c>
      <c r="N41" s="239"/>
      <c r="O41" s="239"/>
      <c r="P41" s="239"/>
      <c r="Q41" s="239"/>
      <c r="R41" s="239"/>
      <c r="S41" s="239"/>
      <c r="T41" s="239"/>
      <c r="U41" s="239"/>
      <c r="V41" s="239"/>
      <c r="W41" s="69"/>
      <c r="X41" s="66"/>
      <c r="Y41" s="11">
        <v>3</v>
      </c>
      <c r="Z41" s="12" t="str">
        <f t="shared" si="49"/>
        <v>Egypte</v>
      </c>
      <c r="AA41" s="12">
        <f t="shared" si="50"/>
        <v>0</v>
      </c>
      <c r="AB41" s="12">
        <f t="shared" si="50"/>
        <v>0</v>
      </c>
      <c r="AC41" s="12">
        <f t="shared" si="50"/>
        <v>0</v>
      </c>
      <c r="AD41" s="12">
        <f t="shared" si="50"/>
        <v>0</v>
      </c>
      <c r="AE41" s="12">
        <f t="shared" si="50"/>
        <v>0</v>
      </c>
      <c r="AF41" s="13"/>
      <c r="AG41" s="92"/>
      <c r="AH41" s="92" t="str">
        <f>IF(Inschrijving!G41="","",Inschrijving!D41)</f>
        <v/>
      </c>
      <c r="AI41" s="92" t="str">
        <f>IF(Inschrijving!G41="","",IF(Inschrijving!G41&gt;Inschrijving!I41,1,0))</f>
        <v/>
      </c>
      <c r="AJ41" s="92" t="str">
        <f>IF(Inschrijving!G41="","",IF(Inschrijving!G41&lt;Inschrijving!I41,1,0))</f>
        <v/>
      </c>
      <c r="AK41" s="92" t="str">
        <f>IF(Inschrijving!G41="","",IF(Inschrijving!G41=Inschrijving!I41,1,0))</f>
        <v/>
      </c>
      <c r="AL41" s="92" t="str">
        <f>IF(Inschrijving!I41="","",Inschrijving!F41)</f>
        <v/>
      </c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/>
      <c r="BC41"/>
      <c r="BD41" s="4"/>
      <c r="BE41" t="str">
        <f>Groepsloting!B40</f>
        <v>Iran</v>
      </c>
      <c r="BF41" s="214" t="str">
        <f>Groepsloting!B279</f>
        <v>Spanje</v>
      </c>
      <c r="BG41" s="152">
        <v>2</v>
      </c>
      <c r="BH41"/>
    </row>
    <row r="42" spans="1:60" s="90" customFormat="1" ht="14.25" customHeight="1" x14ac:dyDescent="0.2">
      <c r="A42" s="127"/>
      <c r="B42" s="178"/>
      <c r="C42" s="132"/>
      <c r="D42" s="20"/>
      <c r="E42" s="20"/>
      <c r="F42" s="20"/>
      <c r="G42" s="180"/>
      <c r="H42" s="181"/>
      <c r="I42" s="180"/>
      <c r="J42" s="182"/>
      <c r="K42" s="68"/>
      <c r="L42" s="156"/>
      <c r="M42" s="161"/>
      <c r="N42" s="161"/>
      <c r="O42" s="161"/>
      <c r="P42" s="161"/>
      <c r="Q42" s="161"/>
      <c r="R42" s="161"/>
      <c r="S42" s="161"/>
      <c r="T42" s="161"/>
      <c r="U42" s="161"/>
      <c r="V42" s="161"/>
      <c r="W42" s="69"/>
      <c r="X42" s="66"/>
      <c r="Y42" s="11">
        <v>4</v>
      </c>
      <c r="Z42" s="12" t="str">
        <f t="shared" si="49"/>
        <v>Nieuw-Zeeland</v>
      </c>
      <c r="AA42" s="12">
        <f t="shared" si="50"/>
        <v>0</v>
      </c>
      <c r="AB42" s="12">
        <f t="shared" si="50"/>
        <v>0</v>
      </c>
      <c r="AC42" s="12">
        <f t="shared" si="50"/>
        <v>0</v>
      </c>
      <c r="AD42" s="12">
        <f t="shared" si="50"/>
        <v>0</v>
      </c>
      <c r="AE42" s="12">
        <f t="shared" si="50"/>
        <v>0</v>
      </c>
      <c r="AF42" s="13"/>
      <c r="AG42" s="92"/>
      <c r="AH42" s="92"/>
      <c r="AI42" s="92"/>
      <c r="AJ42" s="92"/>
      <c r="AK42" s="92"/>
      <c r="AL42" s="92"/>
      <c r="AM42" s="4"/>
      <c r="AN42" s="4"/>
      <c r="AO42" s="94"/>
      <c r="AP42" s="94" t="s">
        <v>74</v>
      </c>
      <c r="AQ42" s="95" t="s">
        <v>61</v>
      </c>
      <c r="AR42" s="95" t="s">
        <v>68</v>
      </c>
      <c r="AS42" s="95" t="s">
        <v>65</v>
      </c>
      <c r="AT42" s="95" t="s">
        <v>66</v>
      </c>
      <c r="AU42" s="95" t="s">
        <v>67</v>
      </c>
      <c r="AV42" s="95" t="s">
        <v>62</v>
      </c>
      <c r="AW42" s="95" t="s">
        <v>63</v>
      </c>
      <c r="AX42" s="95" t="s">
        <v>64</v>
      </c>
      <c r="AY42" s="95"/>
      <c r="AZ42" s="94"/>
      <c r="BA42" s="94"/>
      <c r="BB42"/>
      <c r="BC42"/>
      <c r="BD42" s="94"/>
      <c r="BE42" t="str">
        <f>Groepsloting!B41</f>
        <v>Nieuw-Zeeland</v>
      </c>
      <c r="BF42" s="41" t="str">
        <f>Groepsloting!B248</f>
        <v>Tsjechië</v>
      </c>
      <c r="BG42" s="152">
        <v>41</v>
      </c>
      <c r="BH42"/>
    </row>
    <row r="43" spans="1:60" s="90" customFormat="1" ht="14.25" customHeight="1" x14ac:dyDescent="0.2">
      <c r="A43" s="127"/>
      <c r="B43" s="62" t="str">
        <f>Groepsloting!$B$31</f>
        <v>Groep F</v>
      </c>
      <c r="C43" s="131"/>
      <c r="D43" s="58" t="str">
        <f>Groepsloting!$B$119</f>
        <v>Wedstrijd</v>
      </c>
      <c r="E43" s="59"/>
      <c r="F43" s="58"/>
      <c r="G43" s="58"/>
      <c r="H43" s="192" t="str">
        <f>Groepsloting!$B$120</f>
        <v>Uitslag</v>
      </c>
      <c r="I43" s="58"/>
      <c r="J43" s="64" t="str">
        <f>Groepsloting!$B$121</f>
        <v>Toto</v>
      </c>
      <c r="K43" s="68"/>
      <c r="L43" s="156"/>
      <c r="M43" s="164" t="str">
        <f>Groepsloting!$B194</f>
        <v>• Het invulblad bepaalt automatisch welke landen doorgaan naar de volgende ronde,</v>
      </c>
      <c r="N43" s="161"/>
      <c r="O43" s="161"/>
      <c r="P43" s="161"/>
      <c r="Q43" s="161"/>
      <c r="R43" s="161"/>
      <c r="S43" s="161"/>
      <c r="T43" s="161"/>
      <c r="U43" s="161"/>
      <c r="V43" s="161"/>
      <c r="W43" s="69"/>
      <c r="X43" s="66"/>
      <c r="Y43" s="4"/>
      <c r="Z43" s="9"/>
      <c r="AA43" s="4"/>
      <c r="AB43" s="4"/>
      <c r="AC43" s="4"/>
      <c r="AD43" s="4"/>
      <c r="AE43" s="4"/>
      <c r="AF43" s="4"/>
      <c r="AG43" s="92" t="s">
        <v>74</v>
      </c>
      <c r="AH43" s="93" t="s">
        <v>57</v>
      </c>
      <c r="AI43" s="93"/>
      <c r="AJ43" s="93"/>
      <c r="AK43" s="93"/>
      <c r="AL43" s="93" t="s">
        <v>59</v>
      </c>
      <c r="AM43" s="4"/>
      <c r="AN43" s="4" t="str">
        <f>AP42&amp;AO43</f>
        <v>F1</v>
      </c>
      <c r="AO43" s="94">
        <f>RANK(AZ43,$AZ$43:$AZ$46,1)</f>
        <v>1</v>
      </c>
      <c r="AP43" s="94" t="str">
        <f>Groepsloting!B32</f>
        <v>Nederland</v>
      </c>
      <c r="AQ43" s="95">
        <f>COUNTIF(AH$2:AH$98,AP43)+COUNTIF(AL$2:AL$98,AP43)</f>
        <v>0</v>
      </c>
      <c r="AR43" s="95">
        <f>AV43*3+AW43</f>
        <v>0</v>
      </c>
      <c r="AS43" s="95">
        <f>SUMIF($D$44:$D$49,AP43,$G$44:$G$49)+SUMIF($F$44:$F$49,AP43,$I$44:$I$49)</f>
        <v>0</v>
      </c>
      <c r="AT43" s="95">
        <f>SUMIF($D$44:$D$49,AP43,$I$44:$I$49)+SUMIF($F$44:$F$49,AP43,$G$44:$G$49)</f>
        <v>0</v>
      </c>
      <c r="AU43" s="95">
        <f>AS43-AT43</f>
        <v>0</v>
      </c>
      <c r="AV43" s="95">
        <f>SUMIF(AH$2:AH$98,AP43,AI$2:AI$98)+SUMIF(AL$2:AL$98,AP43,AJ$2:AJ$98)</f>
        <v>0</v>
      </c>
      <c r="AW43" s="95">
        <f>SUMIF(AH$2:AH$98,AP43,AK$2:AK$98)+SUMIF(AL$2:AL$98,AP43,AK$2:AK$98)</f>
        <v>0</v>
      </c>
      <c r="AX43" s="95">
        <f>AQ43-SUM(AV43:AW43)</f>
        <v>0</v>
      </c>
      <c r="AY43" s="95"/>
      <c r="AZ43" s="94">
        <f>RANK(AR43,$AR$43:$AR$46)+RANK(AU43,$AU$43:$AU$46)/10+RANK(AS43,$AS$43:$AS$46,0)/100+RANK(AQ43,$AQ$43:$AQ$46,1)/500+VLOOKUP(AP43,$BF$3:$BG$50,2,0)/10000</f>
        <v>1.1127</v>
      </c>
      <c r="BA43" s="151"/>
      <c r="BB43"/>
      <c r="BC43" s="94"/>
      <c r="BD43" s="94"/>
      <c r="BE43"/>
      <c r="BF43" s="214" t="str">
        <f>Groepsloting!B280</f>
        <v>Tunesië</v>
      </c>
      <c r="BG43" s="152">
        <v>44</v>
      </c>
      <c r="BH43"/>
    </row>
    <row r="44" spans="1:60" s="90" customFormat="1" ht="14.25" customHeight="1" x14ac:dyDescent="0.2">
      <c r="A44" s="127">
        <v>11</v>
      </c>
      <c r="B44" s="143" t="s">
        <v>476</v>
      </c>
      <c r="C44" s="142">
        <v>0.91666666666666663</v>
      </c>
      <c r="D44" s="60" t="str">
        <f>Groepsloting!B32</f>
        <v>Nederland</v>
      </c>
      <c r="E44" s="61" t="s">
        <v>5</v>
      </c>
      <c r="F44" s="60" t="str">
        <f>Groepsloting!B33</f>
        <v>Japan</v>
      </c>
      <c r="G44" s="17"/>
      <c r="H44" s="79" t="s">
        <v>5</v>
      </c>
      <c r="I44" s="17"/>
      <c r="J44" s="19">
        <f t="shared" ref="J44:J49" si="51">IF(AND(G44="",I44=""),0,IF(G44&gt;I44,1,IF(G44&lt;I44,2,3)))</f>
        <v>0</v>
      </c>
      <c r="K44" s="68"/>
      <c r="L44" s="156"/>
      <c r="M44" s="164" t="str">
        <f>Groepsloting!$B195</f>
        <v>behalve bij een gelijke stand van de nummers 1 en 2 in de groepsfase en bij gelijkspel in de 'finales'.</v>
      </c>
      <c r="N44" s="165"/>
      <c r="O44" s="165"/>
      <c r="P44" s="165"/>
      <c r="Q44" s="165"/>
      <c r="R44" s="165"/>
      <c r="S44" s="165"/>
      <c r="T44" s="165"/>
      <c r="U44" s="165"/>
      <c r="V44" s="165"/>
      <c r="W44" s="69"/>
      <c r="X44" s="66"/>
      <c r="Y44" s="15"/>
      <c r="Z44" s="15" t="s">
        <v>12</v>
      </c>
      <c r="AA44" s="16" t="s">
        <v>19</v>
      </c>
      <c r="AB44" s="16" t="s">
        <v>20</v>
      </c>
      <c r="AC44" s="16" t="s">
        <v>21</v>
      </c>
      <c r="AD44" s="16" t="s">
        <v>22</v>
      </c>
      <c r="AE44" s="16" t="s">
        <v>23</v>
      </c>
      <c r="AF44" s="4"/>
      <c r="AG44" s="92"/>
      <c r="AH44" s="92" t="str">
        <f>IF(Inschrijving!G44="","",Inschrijving!D44)</f>
        <v/>
      </c>
      <c r="AI44" s="92" t="str">
        <f>IF(Inschrijving!G44="","",IF(Inschrijving!G44&gt;Inschrijving!I44,1,0))</f>
        <v/>
      </c>
      <c r="AJ44" s="92" t="str">
        <f>IF(Inschrijving!G44="","",IF(Inschrijving!G44&lt;Inschrijving!I44,1,0))</f>
        <v/>
      </c>
      <c r="AK44" s="92" t="str">
        <f>IF(Inschrijving!G44="","",IF(Inschrijving!G44=Inschrijving!I44,1,0))</f>
        <v/>
      </c>
      <c r="AL44" s="92" t="str">
        <f>IF(Inschrijving!I44="","",Inschrijving!F44)</f>
        <v/>
      </c>
      <c r="AM44" s="4"/>
      <c r="AN44" s="4" t="str">
        <f>AP42&amp;AO44</f>
        <v>F2</v>
      </c>
      <c r="AO44" s="94">
        <f>RANK(AZ44,$AZ$43:$AZ$46,1)</f>
        <v>2</v>
      </c>
      <c r="AP44" s="94" t="str">
        <f>Groepsloting!B33</f>
        <v>Japan</v>
      </c>
      <c r="AQ44" s="95">
        <f>COUNTIF(AH$2:AH$98,AP44)+COUNTIF(AL$2:AL$98,AP44)</f>
        <v>0</v>
      </c>
      <c r="AR44" s="95">
        <f>AV44*3+AW44</f>
        <v>0</v>
      </c>
      <c r="AS44" s="95">
        <f t="shared" ref="AS44:AS46" si="52">SUMIF($D$44:$D$49,AP44,$G$44:$G$49)+SUMIF($F$44:$F$49,AP44,$I$44:$I$49)</f>
        <v>0</v>
      </c>
      <c r="AT44" s="95">
        <f t="shared" ref="AT44:AT46" si="53">SUMIF($D$44:$D$49,AP44,$I$44:$I$49)+SUMIF($F$44:$F$49,AP44,$G$44:$G$49)</f>
        <v>0</v>
      </c>
      <c r="AU44" s="95">
        <f>AS44-AT44</f>
        <v>0</v>
      </c>
      <c r="AV44" s="95">
        <f>SUMIF(AH$2:AH$98,AP44,AI$2:AI$98)+SUMIF(AL$2:AL$98,AP44,AJ$2:AJ$98)</f>
        <v>0</v>
      </c>
      <c r="AW44" s="95">
        <f>SUMIF(AH$2:AH$98,AP44,AK$2:AK$98)+SUMIF(AL$2:AL$98,AP44,AK$2:AK$98)</f>
        <v>0</v>
      </c>
      <c r="AX44" s="95">
        <f>AQ44-SUM(AV44:AW44)</f>
        <v>0</v>
      </c>
      <c r="AY44" s="95"/>
      <c r="AZ44" s="94">
        <f t="shared" ref="AZ44:AZ46" si="54">RANK(AR44,$AR$43:$AR$46)+RANK(AU44,$AU$43:$AU$46)/10+RANK(AS44,$AS$43:$AS$46,0)/100+RANK(AQ44,$AQ$43:$AQ$46,1)/500+VLOOKUP(AP44,$BF$3:$BG$50,2,0)/10000</f>
        <v>1.1138000000000001</v>
      </c>
      <c r="BA44" s="151"/>
      <c r="BB44"/>
      <c r="BC44" s="94"/>
      <c r="BD44" s="94"/>
      <c r="BE44" s="91" t="str">
        <f>Groepsloting!B43</f>
        <v>Groep H</v>
      </c>
      <c r="BF44" s="214" t="str">
        <f>Groepsloting!B281</f>
        <v>Turkije</v>
      </c>
      <c r="BG44" s="152">
        <v>22</v>
      </c>
      <c r="BH44"/>
    </row>
    <row r="45" spans="1:60" s="90" customFormat="1" ht="14.25" customHeight="1" x14ac:dyDescent="0.2">
      <c r="A45" s="127">
        <v>12</v>
      </c>
      <c r="B45" s="143" t="s">
        <v>477</v>
      </c>
      <c r="C45" s="142">
        <v>0.16666666666666666</v>
      </c>
      <c r="D45" s="60" t="str">
        <f>Groepsloting!B35</f>
        <v>Zweden</v>
      </c>
      <c r="E45" s="61" t="s">
        <v>5</v>
      </c>
      <c r="F45" s="60" t="str">
        <f>Groepsloting!B34</f>
        <v>Tunesië</v>
      </c>
      <c r="G45" s="17"/>
      <c r="H45" s="79" t="s">
        <v>5</v>
      </c>
      <c r="I45" s="17"/>
      <c r="J45" s="19">
        <f t="shared" si="51"/>
        <v>0</v>
      </c>
      <c r="K45" s="87"/>
      <c r="L45" s="156"/>
      <c r="M45" s="164" t="str">
        <f>Groepsloting!$B196</f>
        <v>• Het invulblad geeft aan waar je eventueel een winnaar handmatig moet invullen.</v>
      </c>
      <c r="N45" s="165"/>
      <c r="O45" s="165"/>
      <c r="P45" s="165"/>
      <c r="Q45" s="165"/>
      <c r="R45" s="165"/>
      <c r="S45" s="165"/>
      <c r="T45" s="165"/>
      <c r="U45" s="165"/>
      <c r="V45" s="165"/>
      <c r="W45" s="69"/>
      <c r="X45" s="66"/>
      <c r="Y45" s="11">
        <v>1</v>
      </c>
      <c r="Z45" s="12" t="str">
        <f t="shared" ref="Z45:AE45" si="55">VLOOKUP($Y45,$AO$59:$AX$62,AP$1,0)</f>
        <v>Spanje</v>
      </c>
      <c r="AA45" s="12">
        <f>VLOOKUP($Y45,$AO$59:$AX$62,AQ$1,0)</f>
        <v>0</v>
      </c>
      <c r="AB45" s="12">
        <f t="shared" si="55"/>
        <v>0</v>
      </c>
      <c r="AC45" s="12">
        <f t="shared" si="55"/>
        <v>0</v>
      </c>
      <c r="AD45" s="12">
        <f t="shared" si="55"/>
        <v>0</v>
      </c>
      <c r="AE45" s="12">
        <f t="shared" si="55"/>
        <v>0</v>
      </c>
      <c r="AF45" s="13"/>
      <c r="AG45" s="92"/>
      <c r="AH45" s="92" t="str">
        <f>IF(Inschrijving!G45="","",Inschrijving!D45)</f>
        <v/>
      </c>
      <c r="AI45" s="92" t="str">
        <f>IF(Inschrijving!G45="","",IF(Inschrijving!G45&gt;Inschrijving!I45,1,0))</f>
        <v/>
      </c>
      <c r="AJ45" s="92" t="str">
        <f>IF(Inschrijving!G45="","",IF(Inschrijving!G45&lt;Inschrijving!I45,1,0))</f>
        <v/>
      </c>
      <c r="AK45" s="92" t="str">
        <f>IF(Inschrijving!G45="","",IF(Inschrijving!G45=Inschrijving!I45,1,0))</f>
        <v/>
      </c>
      <c r="AL45" s="92" t="str">
        <f>IF(Inschrijving!I45="","",Inschrijving!F45)</f>
        <v/>
      </c>
      <c r="AM45" s="4"/>
      <c r="AN45" s="4" t="str">
        <f>AP42&amp;AO45</f>
        <v>F4</v>
      </c>
      <c r="AO45" s="94">
        <f>RANK(AZ45,$AZ$43:$AZ$46,1)</f>
        <v>4</v>
      </c>
      <c r="AP45" s="94" t="str">
        <f>Groepsloting!B34</f>
        <v>Tunesië</v>
      </c>
      <c r="AQ45" s="95">
        <f>COUNTIF(AH$2:AH$98,AP45)+COUNTIF(AL$2:AL$98,AP45)</f>
        <v>0</v>
      </c>
      <c r="AR45" s="95">
        <f>AV45*3+AW45</f>
        <v>0</v>
      </c>
      <c r="AS45" s="95">
        <f t="shared" si="52"/>
        <v>0</v>
      </c>
      <c r="AT45" s="95">
        <f t="shared" si="53"/>
        <v>0</v>
      </c>
      <c r="AU45" s="95">
        <f>AS45-AT45</f>
        <v>0</v>
      </c>
      <c r="AV45" s="95">
        <f>SUMIF(AH$2:AH$98,AP45,AI$2:AI$98)+SUMIF(AL$2:AL$98,AP45,AJ$2:AJ$98)</f>
        <v>0</v>
      </c>
      <c r="AW45" s="95">
        <f>SUMIF(AH$2:AH$98,AP45,AK$2:AK$98)+SUMIF(AL$2:AL$98,AP45,AK$2:AK$98)</f>
        <v>0</v>
      </c>
      <c r="AX45" s="95">
        <f>AQ45-SUM(AV45:AW45)</f>
        <v>0</v>
      </c>
      <c r="AY45" s="95"/>
      <c r="AZ45" s="94">
        <f t="shared" si="54"/>
        <v>1.1164000000000001</v>
      </c>
      <c r="BA45" s="151"/>
      <c r="BB45"/>
      <c r="BC45" s="94"/>
      <c r="BD45" s="94"/>
      <c r="BE45" t="str">
        <f>Groepsloting!B44</f>
        <v>Spanje</v>
      </c>
      <c r="BF45" s="214" t="str">
        <f>Groepsloting!B283</f>
        <v>Uruguay</v>
      </c>
      <c r="BG45" s="152">
        <v>17</v>
      </c>
      <c r="BH45"/>
    </row>
    <row r="46" spans="1:60" s="90" customFormat="1" ht="14.25" customHeight="1" x14ac:dyDescent="0.2">
      <c r="A46" s="127">
        <v>35</v>
      </c>
      <c r="B46" s="143" t="s">
        <v>478</v>
      </c>
      <c r="C46" s="142">
        <v>0.79166666666666663</v>
      </c>
      <c r="D46" s="60" t="str">
        <f>D44</f>
        <v>Nederland</v>
      </c>
      <c r="E46" s="61" t="s">
        <v>5</v>
      </c>
      <c r="F46" s="60" t="str">
        <f>D45</f>
        <v>Zweden</v>
      </c>
      <c r="G46" s="17"/>
      <c r="H46" s="79" t="s">
        <v>5</v>
      </c>
      <c r="I46" s="17"/>
      <c r="J46" s="19">
        <f t="shared" si="51"/>
        <v>0</v>
      </c>
      <c r="K46" s="68"/>
      <c r="L46" s="156"/>
      <c r="M46" s="164" t="str">
        <f>Groepsloting!$B197</f>
        <v>• Het invulblad heeft selectiemogelijkheden voor uitslagen, toto en landenkeuze. Dit is handig voor mobiel invullen!</v>
      </c>
      <c r="N46" s="66"/>
      <c r="O46" s="66"/>
      <c r="P46" s="66"/>
      <c r="Q46" s="66"/>
      <c r="R46" s="66"/>
      <c r="S46" s="66"/>
      <c r="T46" s="66"/>
      <c r="U46" s="66"/>
      <c r="V46" s="66"/>
      <c r="W46" s="69"/>
      <c r="X46" s="66"/>
      <c r="Y46" s="11">
        <v>2</v>
      </c>
      <c r="Z46" s="12" t="str">
        <f t="shared" ref="Z46:Z48" si="56">VLOOKUP($Y46,$AO$59:$AX$62,AP$1,0)</f>
        <v>Uruguay</v>
      </c>
      <c r="AA46" s="12">
        <f t="shared" ref="AA46:AE48" si="57">VLOOKUP($Y46,$AO$59:$AX$62,AQ$1,0)</f>
        <v>0</v>
      </c>
      <c r="AB46" s="12">
        <f t="shared" si="57"/>
        <v>0</v>
      </c>
      <c r="AC46" s="12">
        <f t="shared" si="57"/>
        <v>0</v>
      </c>
      <c r="AD46" s="12">
        <f t="shared" si="57"/>
        <v>0</v>
      </c>
      <c r="AE46" s="12">
        <f t="shared" si="57"/>
        <v>0</v>
      </c>
      <c r="AF46" s="13"/>
      <c r="AG46" s="92"/>
      <c r="AH46" s="92" t="str">
        <f>IF(Inschrijving!G46="","",Inschrijving!D46)</f>
        <v/>
      </c>
      <c r="AI46" s="92" t="str">
        <f>IF(Inschrijving!G46="","",IF(Inschrijving!G46&gt;Inschrijving!I46,1,0))</f>
        <v/>
      </c>
      <c r="AJ46" s="92" t="str">
        <f>IF(Inschrijving!G46="","",IF(Inschrijving!G46&lt;Inschrijving!I46,1,0))</f>
        <v/>
      </c>
      <c r="AK46" s="92" t="str">
        <f>IF(Inschrijving!G46="","",IF(Inschrijving!G46=Inschrijving!I46,1,0))</f>
        <v/>
      </c>
      <c r="AL46" s="92" t="str">
        <f>IF(Inschrijving!I46="","",Inschrijving!F46)</f>
        <v/>
      </c>
      <c r="AM46" s="4"/>
      <c r="AN46" s="4" t="str">
        <f>AP42&amp;AO46</f>
        <v>F3</v>
      </c>
      <c r="AO46" s="94">
        <f>RANK(AZ46,$AZ$43:$AZ$46,1)</f>
        <v>3</v>
      </c>
      <c r="AP46" s="94" t="str">
        <f>Groepsloting!B35</f>
        <v>Zweden</v>
      </c>
      <c r="AQ46" s="95">
        <f>COUNTIF(AH$2:AH$98,AP46)+COUNTIF(AL$2:AL$98,AP46)</f>
        <v>0</v>
      </c>
      <c r="AR46" s="95">
        <f>AV46*3+AW46</f>
        <v>0</v>
      </c>
      <c r="AS46" s="95">
        <f t="shared" si="52"/>
        <v>0</v>
      </c>
      <c r="AT46" s="95">
        <f t="shared" si="53"/>
        <v>0</v>
      </c>
      <c r="AU46" s="95">
        <f>AS46-AT46</f>
        <v>0</v>
      </c>
      <c r="AV46" s="95">
        <f>SUMIF(AH$2:AH$98,AP46,AI$2:AI$98)+SUMIF(AL$2:AL$98,AP46,AJ$2:AJ$98)</f>
        <v>0</v>
      </c>
      <c r="AW46" s="95">
        <f>SUMIF(AH$2:AH$98,AP46,AK$2:AK$98)+SUMIF(AL$2:AL$98,AP46,AK$2:AK$98)</f>
        <v>0</v>
      </c>
      <c r="AX46" s="95">
        <f>AQ46-SUM(AV46:AW46)</f>
        <v>0</v>
      </c>
      <c r="AY46" s="95"/>
      <c r="AZ46" s="94">
        <f t="shared" si="54"/>
        <v>1.1158000000000001</v>
      </c>
      <c r="BA46" s="151"/>
      <c r="BB46"/>
      <c r="BC46" s="94"/>
      <c r="BD46" s="94"/>
      <c r="BE46" t="str">
        <f>Groepsloting!B45</f>
        <v>Kaapverdië</v>
      </c>
      <c r="BF46" s="214" t="str">
        <f>Groepsloting!B284</f>
        <v>Verenigde Staten</v>
      </c>
      <c r="BG46" s="152">
        <v>16</v>
      </c>
      <c r="BH46"/>
    </row>
    <row r="47" spans="1:60" s="90" customFormat="1" ht="14.25" customHeight="1" x14ac:dyDescent="0.2">
      <c r="A47" s="127">
        <v>36</v>
      </c>
      <c r="B47" s="143" t="s">
        <v>479</v>
      </c>
      <c r="C47" s="142">
        <v>0.25</v>
      </c>
      <c r="D47" s="60" t="str">
        <f>F45</f>
        <v>Tunesië</v>
      </c>
      <c r="E47" s="61" t="s">
        <v>5</v>
      </c>
      <c r="F47" s="60" t="str">
        <f>F44</f>
        <v>Japan</v>
      </c>
      <c r="G47" s="17"/>
      <c r="H47" s="79" t="s">
        <v>5</v>
      </c>
      <c r="I47" s="17"/>
      <c r="J47" s="19">
        <f t="shared" si="51"/>
        <v>0</v>
      </c>
      <c r="K47" s="68"/>
      <c r="L47" s="156"/>
      <c r="M47" s="164" t="str">
        <f>Groepsloting!$B198</f>
        <v xml:space="preserve">• Vanaf de achtste finales tot en met de finale geldt de uitslag na een eventueel verlengen van de wedstrijd, maar </v>
      </c>
      <c r="N47" s="66"/>
      <c r="O47" s="66"/>
      <c r="P47" s="66"/>
      <c r="Q47" s="66"/>
      <c r="R47" s="66"/>
      <c r="S47" s="66"/>
      <c r="T47" s="66"/>
      <c r="U47" s="66"/>
      <c r="V47" s="66"/>
      <c r="W47" s="69"/>
      <c r="X47" s="66"/>
      <c r="Y47" s="11">
        <v>3</v>
      </c>
      <c r="Z47" s="12" t="str">
        <f t="shared" si="56"/>
        <v>Saoedi-Arabië</v>
      </c>
      <c r="AA47" s="12">
        <f t="shared" si="57"/>
        <v>0</v>
      </c>
      <c r="AB47" s="12">
        <f t="shared" si="57"/>
        <v>0</v>
      </c>
      <c r="AC47" s="12">
        <f t="shared" si="57"/>
        <v>0</v>
      </c>
      <c r="AD47" s="12">
        <f t="shared" si="57"/>
        <v>0</v>
      </c>
      <c r="AE47" s="12">
        <f t="shared" si="57"/>
        <v>0</v>
      </c>
      <c r="AF47" s="13"/>
      <c r="AG47" s="92"/>
      <c r="AH47" s="92" t="str">
        <f>IF(Inschrijving!G47="","",Inschrijving!D47)</f>
        <v/>
      </c>
      <c r="AI47" s="92" t="str">
        <f>IF(Inschrijving!G47="","",IF(Inschrijving!G47&gt;Inschrijving!I47,1,0))</f>
        <v/>
      </c>
      <c r="AJ47" s="92" t="str">
        <f>IF(Inschrijving!G47="","",IF(Inschrijving!G47&lt;Inschrijving!I47,1,0))</f>
        <v/>
      </c>
      <c r="AK47" s="92" t="str">
        <f>IF(Inschrijving!G47="","",IF(Inschrijving!G47=Inschrijving!I47,1,0))</f>
        <v/>
      </c>
      <c r="AL47" s="92" t="str">
        <f>IF(Inschrijving!I47="","",Inschrijving!F47)</f>
        <v/>
      </c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/>
      <c r="BC47"/>
      <c r="BD47" s="4"/>
      <c r="BE47" t="str">
        <f>Groepsloting!B46</f>
        <v>Saoedi-Arabië</v>
      </c>
      <c r="BF47" s="214" t="str">
        <f>Groepsloting!B285</f>
        <v>Zuid-Afrika</v>
      </c>
      <c r="BG47" s="152">
        <v>60</v>
      </c>
      <c r="BH47"/>
    </row>
    <row r="48" spans="1:60" s="90" customFormat="1" ht="14.25" customHeight="1" x14ac:dyDescent="0.2">
      <c r="A48" s="127">
        <v>57</v>
      </c>
      <c r="B48" s="143" t="s">
        <v>475</v>
      </c>
      <c r="C48" s="142">
        <v>4.1666666666666664E-2</v>
      </c>
      <c r="D48" s="60" t="str">
        <f>F44</f>
        <v>Japan</v>
      </c>
      <c r="E48" s="61" t="s">
        <v>5</v>
      </c>
      <c r="F48" s="60" t="str">
        <f>D45</f>
        <v>Zweden</v>
      </c>
      <c r="G48" s="17"/>
      <c r="H48" s="79" t="s">
        <v>5</v>
      </c>
      <c r="I48" s="17"/>
      <c r="J48" s="19">
        <f t="shared" si="51"/>
        <v>0</v>
      </c>
      <c r="K48" s="68"/>
      <c r="L48" s="156"/>
      <c r="M48" s="164" t="str">
        <f>Groepsloting!$B199</f>
        <v>voor strafschoppen. Als je in een 'finale' een gelijkspel voorspelt, vul dan zelf weer de winnaar in voor de volgende 'finale'!</v>
      </c>
      <c r="N48" s="66"/>
      <c r="O48" s="66"/>
      <c r="P48" s="66"/>
      <c r="Q48" s="66"/>
      <c r="R48" s="66"/>
      <c r="S48" s="66"/>
      <c r="T48" s="66"/>
      <c r="U48" s="66"/>
      <c r="V48" s="66"/>
      <c r="W48" s="69"/>
      <c r="X48" s="66"/>
      <c r="Y48" s="11">
        <v>4</v>
      </c>
      <c r="Z48" s="12" t="str">
        <f t="shared" si="56"/>
        <v>Kaapverdië</v>
      </c>
      <c r="AA48" s="12">
        <f t="shared" si="57"/>
        <v>0</v>
      </c>
      <c r="AB48" s="12">
        <f t="shared" si="57"/>
        <v>0</v>
      </c>
      <c r="AC48" s="12">
        <f t="shared" si="57"/>
        <v>0</v>
      </c>
      <c r="AD48" s="12">
        <f t="shared" si="57"/>
        <v>0</v>
      </c>
      <c r="AE48" s="12">
        <f t="shared" si="57"/>
        <v>0</v>
      </c>
      <c r="AF48" s="13"/>
      <c r="AG48" s="92"/>
      <c r="AH48" s="92" t="str">
        <f>IF(Inschrijving!G48="","",Inschrijving!D48)</f>
        <v/>
      </c>
      <c r="AI48" s="92" t="str">
        <f>IF(Inschrijving!G48="","",IF(Inschrijving!G48&gt;Inschrijving!I48,1,0))</f>
        <v/>
      </c>
      <c r="AJ48" s="92" t="str">
        <f>IF(Inschrijving!G48="","",IF(Inschrijving!G48&lt;Inschrijving!I48,1,0))</f>
        <v/>
      </c>
      <c r="AK48" s="92" t="str">
        <f>IF(Inschrijving!G48="","",IF(Inschrijving!G48=Inschrijving!I48,1,0))</f>
        <v/>
      </c>
      <c r="AL48" s="92" t="str">
        <f>IF(Inschrijving!I48="","",Inschrijving!F48)</f>
        <v/>
      </c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/>
      <c r="BC48"/>
      <c r="BD48" s="4"/>
      <c r="BE48" t="str">
        <f>Groepsloting!B47</f>
        <v>Uruguay</v>
      </c>
      <c r="BF48" s="214" t="str">
        <f>Groepsloting!B286</f>
        <v>Zuid-Korea</v>
      </c>
      <c r="BG48" s="152">
        <v>25</v>
      </c>
      <c r="BH48"/>
    </row>
    <row r="49" spans="1:60" s="90" customFormat="1" ht="14.25" customHeight="1" x14ac:dyDescent="0.2">
      <c r="A49" s="127">
        <v>58</v>
      </c>
      <c r="B49" s="143" t="s">
        <v>475</v>
      </c>
      <c r="C49" s="142">
        <v>4.1666666666666664E-2</v>
      </c>
      <c r="D49" s="60" t="str">
        <f>F45</f>
        <v>Tunesië</v>
      </c>
      <c r="E49" s="61" t="s">
        <v>5</v>
      </c>
      <c r="F49" s="60" t="str">
        <f>D44</f>
        <v>Nederland</v>
      </c>
      <c r="G49" s="17"/>
      <c r="H49" s="79" t="s">
        <v>5</v>
      </c>
      <c r="I49" s="17"/>
      <c r="J49" s="19">
        <f t="shared" si="51"/>
        <v>0</v>
      </c>
      <c r="K49" s="68"/>
      <c r="L49" s="156"/>
      <c r="M49" s="164" t="str">
        <f>Groepsloting!$B200</f>
        <v>• Als je de winkansen wilt spreiden, kan je ook handmatig de finalisten selecteren of een andere toto invullen.</v>
      </c>
      <c r="N49" s="66"/>
      <c r="O49" s="66"/>
      <c r="P49" s="66"/>
      <c r="Q49" s="66"/>
      <c r="R49" s="66"/>
      <c r="S49" s="66"/>
      <c r="T49" s="66"/>
      <c r="U49" s="66"/>
      <c r="V49" s="66"/>
      <c r="W49" s="69"/>
      <c r="X49" s="66"/>
      <c r="Y49" s="4"/>
      <c r="Z49" s="4"/>
      <c r="AA49" s="4"/>
      <c r="AB49" s="4"/>
      <c r="AC49" s="4"/>
      <c r="AD49" s="4"/>
      <c r="AE49" s="4"/>
      <c r="AF49" s="4"/>
      <c r="AG49" s="92"/>
      <c r="AH49" s="92" t="str">
        <f>IF(Inschrijving!G49="","",Inschrijving!D49)</f>
        <v/>
      </c>
      <c r="AI49" s="92" t="str">
        <f>IF(Inschrijving!G49="","",IF(Inschrijving!G49&gt;Inschrijving!I49,1,0))</f>
        <v/>
      </c>
      <c r="AJ49" s="92" t="str">
        <f>IF(Inschrijving!G49="","",IF(Inschrijving!G49&lt;Inschrijving!I49,1,0))</f>
        <v/>
      </c>
      <c r="AK49" s="92" t="str">
        <f>IF(Inschrijving!G49="","",IF(Inschrijving!G49=Inschrijving!I49,1,0))</f>
        <v/>
      </c>
      <c r="AL49" s="92" t="str">
        <f>IF(Inschrijving!I49="","",Inschrijving!F49)</f>
        <v/>
      </c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/>
      <c r="BC49"/>
      <c r="BD49" s="4"/>
      <c r="BE49"/>
      <c r="BF49" s="214" t="str">
        <f>Groepsloting!B282</f>
        <v>Zweden</v>
      </c>
      <c r="BG49" s="152">
        <v>38</v>
      </c>
      <c r="BH49"/>
    </row>
    <row r="50" spans="1:60" s="90" customFormat="1" ht="14.25" customHeight="1" x14ac:dyDescent="0.2">
      <c r="A50" s="127"/>
      <c r="B50" s="218"/>
      <c r="C50" s="219"/>
      <c r="D50" s="220"/>
      <c r="E50" s="220"/>
      <c r="F50" s="220"/>
      <c r="G50" s="220"/>
      <c r="H50" s="221"/>
      <c r="I50" s="220"/>
      <c r="J50" s="222"/>
      <c r="K50" s="68"/>
      <c r="L50" s="156"/>
      <c r="M50" s="66"/>
      <c r="N50" s="66"/>
      <c r="O50" s="66"/>
      <c r="P50" s="66"/>
      <c r="Q50" s="66"/>
      <c r="R50" s="66"/>
      <c r="S50" s="66"/>
      <c r="T50" s="66"/>
      <c r="U50" s="66"/>
      <c r="V50" s="66"/>
      <c r="W50" s="69"/>
      <c r="X50" s="66"/>
      <c r="Y50" s="145"/>
      <c r="Z50" s="15" t="s">
        <v>418</v>
      </c>
      <c r="AA50" s="16" t="s">
        <v>19</v>
      </c>
      <c r="AB50" s="16" t="s">
        <v>20</v>
      </c>
      <c r="AC50" s="16" t="s">
        <v>21</v>
      </c>
      <c r="AD50" s="16" t="s">
        <v>22</v>
      </c>
      <c r="AE50" s="16" t="s">
        <v>23</v>
      </c>
      <c r="AF50" s="4"/>
      <c r="AG50" s="92"/>
      <c r="AH50" s="92"/>
      <c r="AI50" s="92"/>
      <c r="AJ50" s="92"/>
      <c r="AK50" s="92"/>
      <c r="AL50" s="92"/>
      <c r="AM50" s="4"/>
      <c r="AN50" s="4"/>
      <c r="AO50" s="94"/>
      <c r="AP50" s="94" t="s">
        <v>75</v>
      </c>
      <c r="AQ50" s="95" t="s">
        <v>61</v>
      </c>
      <c r="AR50" s="95" t="s">
        <v>68</v>
      </c>
      <c r="AS50" s="95" t="s">
        <v>65</v>
      </c>
      <c r="AT50" s="95" t="s">
        <v>66</v>
      </c>
      <c r="AU50" s="95" t="s">
        <v>67</v>
      </c>
      <c r="AV50" s="95" t="s">
        <v>62</v>
      </c>
      <c r="AW50" s="95" t="s">
        <v>63</v>
      </c>
      <c r="AX50" s="95" t="s">
        <v>64</v>
      </c>
      <c r="AY50" s="95"/>
      <c r="AZ50" s="94"/>
      <c r="BA50" s="94"/>
      <c r="BB50"/>
      <c r="BC50"/>
      <c r="BD50" s="94"/>
      <c r="BE50" s="91" t="str">
        <f>Groepsloting!B49</f>
        <v>Groep I</v>
      </c>
      <c r="BF50" s="214" t="str">
        <f>Groepsloting!B287</f>
        <v>Zwitserland</v>
      </c>
      <c r="BG50" s="152">
        <v>19</v>
      </c>
      <c r="BH50"/>
    </row>
    <row r="51" spans="1:60" s="90" customFormat="1" ht="14.25" customHeight="1" x14ac:dyDescent="0.2">
      <c r="A51" s="127"/>
      <c r="B51" s="62" t="str">
        <f>Groepsloting!$B$37</f>
        <v>Groep G</v>
      </c>
      <c r="C51" s="131"/>
      <c r="D51" s="58" t="str">
        <f>Groepsloting!$B$119</f>
        <v>Wedstrijd</v>
      </c>
      <c r="E51" s="59"/>
      <c r="F51" s="58"/>
      <c r="G51" s="58"/>
      <c r="H51" s="192" t="str">
        <f>Groepsloting!$B$120</f>
        <v>Uitslag</v>
      </c>
      <c r="I51" s="58"/>
      <c r="J51" s="64" t="str">
        <f>Groepsloting!$B$121</f>
        <v>Toto</v>
      </c>
      <c r="K51" s="68"/>
      <c r="L51" s="156"/>
      <c r="M51" s="166" t="str">
        <f>Groepsloting!$B$201</f>
        <v>Juiste aantal doelpunten thuis spelend team (juiste toto)</v>
      </c>
      <c r="N51" s="166"/>
      <c r="O51" s="166">
        <v>2</v>
      </c>
      <c r="P51" s="166"/>
      <c r="Q51" s="166"/>
      <c r="R51" s="166"/>
      <c r="S51" s="166"/>
      <c r="T51" s="66"/>
      <c r="U51" s="66"/>
      <c r="V51" s="66"/>
      <c r="W51" s="69"/>
      <c r="X51" s="66"/>
      <c r="Y51" s="11">
        <v>1</v>
      </c>
      <c r="Z51" s="12" t="str">
        <f>VLOOKUP($Y51,$AO$67:$AX$70,AP$1,0)</f>
        <v>Frankrijk</v>
      </c>
      <c r="AA51" s="12">
        <f t="shared" ref="AA51:AE51" si="58">VLOOKUP($Y51,$AO$67:$AX$70,AQ$1,0)</f>
        <v>0</v>
      </c>
      <c r="AB51" s="12">
        <f t="shared" si="58"/>
        <v>0</v>
      </c>
      <c r="AC51" s="12">
        <f t="shared" si="58"/>
        <v>0</v>
      </c>
      <c r="AD51" s="12">
        <f t="shared" si="58"/>
        <v>0</v>
      </c>
      <c r="AE51" s="12">
        <f t="shared" si="58"/>
        <v>0</v>
      </c>
      <c r="AF51" s="4"/>
      <c r="AG51" s="92" t="s">
        <v>75</v>
      </c>
      <c r="AH51" s="93" t="s">
        <v>57</v>
      </c>
      <c r="AI51" s="93"/>
      <c r="AJ51" s="93"/>
      <c r="AK51" s="93"/>
      <c r="AL51" s="93" t="s">
        <v>59</v>
      </c>
      <c r="AM51" s="4"/>
      <c r="AN51" s="4" t="str">
        <f>AP50&amp;AO51</f>
        <v>G1</v>
      </c>
      <c r="AO51" s="94">
        <f>RANK(AZ51,$AZ$51:$AZ$54,1)</f>
        <v>1</v>
      </c>
      <c r="AP51" s="94" t="str">
        <f>Groepsloting!B38</f>
        <v>België</v>
      </c>
      <c r="AQ51" s="95">
        <f>COUNTIF(AH$2:AH$98,AP51)+COUNTIF(AL$2:AL$98,AP51)</f>
        <v>0</v>
      </c>
      <c r="AR51" s="95">
        <f>AV51*3+AW51</f>
        <v>0</v>
      </c>
      <c r="AS51" s="95">
        <f>SUMIF($D$52:$D$57,AP51,$G$52:$G$57)+SUMIF($F$52:$F$57,AP51,$I$52:$I$57)</f>
        <v>0</v>
      </c>
      <c r="AT51" s="95">
        <f>SUMIF($D$52:$D$57,AP51,$I$52:$I$57)+SUMIF($F$52:$F$57,AP51,$G$52:$G$57)</f>
        <v>0</v>
      </c>
      <c r="AU51" s="95">
        <f>AS51-AT51</f>
        <v>0</v>
      </c>
      <c r="AV51" s="95">
        <f>SUMIF(AH$2:AH$98,AP51,AI$2:AI$98)+SUMIF(AL$2:AL$98,AP51,AJ$2:AJ$98)</f>
        <v>0</v>
      </c>
      <c r="AW51" s="95">
        <f>SUMIF(AH$2:AH$98,AP51,AK$2:AK$98)+SUMIF(AL$2:AL$98,AP51,AK$2:AK$98)</f>
        <v>0</v>
      </c>
      <c r="AX51" s="95">
        <f>AQ51-SUM(AV51:AW51)</f>
        <v>0</v>
      </c>
      <c r="AY51" s="95"/>
      <c r="AZ51" s="94">
        <f>RANK(AR51,$AR$51:$AR$54)+RANK(AU51,$AU$51:$AU$54)/10+RANK(AS51,$AS$51:$AS$54,0)/100+RANK(AQ51,$AQ$51:$AQ$54,1)/500+VLOOKUP(AP51,$BF$3:$BG$50,2,0)/10000</f>
        <v>1.1129</v>
      </c>
      <c r="BA51" s="151"/>
      <c r="BB51"/>
      <c r="BC51" s="94"/>
      <c r="BD51" s="94"/>
      <c r="BE51" t="str">
        <f>Groepsloting!B50</f>
        <v>Irak</v>
      </c>
      <c r="BF51" s="100"/>
      <c r="BG51" s="152"/>
      <c r="BH51"/>
    </row>
    <row r="52" spans="1:60" s="90" customFormat="1" ht="14.25" customHeight="1" x14ac:dyDescent="0.2">
      <c r="A52" s="127">
        <v>16</v>
      </c>
      <c r="B52" s="143" t="s">
        <v>477</v>
      </c>
      <c r="C52" s="142">
        <v>0.875</v>
      </c>
      <c r="D52" s="60" t="str">
        <f>Groepsloting!B38</f>
        <v>België</v>
      </c>
      <c r="E52" s="61" t="s">
        <v>5</v>
      </c>
      <c r="F52" s="60" t="str">
        <f>Groepsloting!B39</f>
        <v>Egypte</v>
      </c>
      <c r="G52" s="17"/>
      <c r="H52" s="79" t="s">
        <v>5</v>
      </c>
      <c r="I52" s="17"/>
      <c r="J52" s="19">
        <f t="shared" ref="J52:J57" si="59">IF(AND(G52="",I52=""),0,IF(G52&gt;I52,1,IF(G52&lt;I52,2,3)))</f>
        <v>0</v>
      </c>
      <c r="K52" s="68"/>
      <c r="L52" s="156"/>
      <c r="M52" s="166"/>
      <c r="N52" s="166"/>
      <c r="O52" s="166"/>
      <c r="P52" s="166"/>
      <c r="Q52" s="166"/>
      <c r="R52" s="166"/>
      <c r="S52" s="166"/>
      <c r="T52" s="66"/>
      <c r="U52" s="66"/>
      <c r="V52" s="66"/>
      <c r="W52" s="69"/>
      <c r="X52" s="66"/>
      <c r="Y52" s="11">
        <v>2</v>
      </c>
      <c r="Z52" s="12" t="str">
        <f t="shared" ref="Z52:Z54" si="60">VLOOKUP($Y52,$AO$67:$AX$70,AP$1,0)</f>
        <v>Senegal</v>
      </c>
      <c r="AA52" s="12">
        <f t="shared" ref="AA52:AA54" si="61">VLOOKUP($Y52,$AO$67:$AX$70,AQ$1,0)</f>
        <v>0</v>
      </c>
      <c r="AB52" s="12">
        <f t="shared" ref="AB52:AB54" si="62">VLOOKUP($Y52,$AO$67:$AX$70,AR$1,0)</f>
        <v>0</v>
      </c>
      <c r="AC52" s="12">
        <f t="shared" ref="AC52:AC54" si="63">VLOOKUP($Y52,$AO$67:$AX$70,AS$1,0)</f>
        <v>0</v>
      </c>
      <c r="AD52" s="12">
        <f t="shared" ref="AD52:AD54" si="64">VLOOKUP($Y52,$AO$67:$AX$70,AT$1,0)</f>
        <v>0</v>
      </c>
      <c r="AE52" s="12">
        <f t="shared" ref="AE52:AE54" si="65">VLOOKUP($Y52,$AO$67:$AX$70,AU$1,0)</f>
        <v>0</v>
      </c>
      <c r="AF52" s="4"/>
      <c r="AG52" s="92"/>
      <c r="AH52" s="92" t="str">
        <f>IF(Inschrijving!G52="","",Inschrijving!D52)</f>
        <v/>
      </c>
      <c r="AI52" s="92" t="str">
        <f>IF(Inschrijving!G52="","",IF(Inschrijving!G52&gt;Inschrijving!I52,1,0))</f>
        <v/>
      </c>
      <c r="AJ52" s="92" t="str">
        <f>IF(Inschrijving!G52="","",IF(Inschrijving!G52&lt;Inschrijving!I52,1,0))</f>
        <v/>
      </c>
      <c r="AK52" s="92" t="str">
        <f>IF(Inschrijving!G52="","",IF(Inschrijving!G52=Inschrijving!I52,1,0))</f>
        <v/>
      </c>
      <c r="AL52" s="92" t="str">
        <f>IF(Inschrijving!I52="","",Inschrijving!F52)</f>
        <v/>
      </c>
      <c r="AM52" s="4"/>
      <c r="AN52" s="4" t="str">
        <f>AP50&amp;AO52</f>
        <v>G3</v>
      </c>
      <c r="AO52" s="94">
        <f>RANK(AZ52,$AZ$51:$AZ$54,1)</f>
        <v>3</v>
      </c>
      <c r="AP52" s="94" t="str">
        <f>Groepsloting!B39</f>
        <v>Egypte</v>
      </c>
      <c r="AQ52" s="95">
        <f>COUNTIF(AH$2:AH$98,AP52)+COUNTIF(AL$2:AL$98,AP52)</f>
        <v>0</v>
      </c>
      <c r="AR52" s="95">
        <f>AV52*3+AW52</f>
        <v>0</v>
      </c>
      <c r="AS52" s="95">
        <f t="shared" ref="AS52:AS54" si="66">SUMIF($D$52:$D$57,AP52,$G$52:$G$57)+SUMIF($F$52:$F$57,AP52,$I$52:$I$57)</f>
        <v>0</v>
      </c>
      <c r="AT52" s="95">
        <f t="shared" ref="AT52:AT54" si="67">SUMIF($D$52:$D$57,AP52,$I$52:$I$57)+SUMIF($F$52:$F$57,AP52,$G$52:$G$57)</f>
        <v>0</v>
      </c>
      <c r="AU52" s="95">
        <f>AS52-AT52</f>
        <v>0</v>
      </c>
      <c r="AV52" s="95">
        <f>SUMIF(AH$2:AH$98,AP52,AI$2:AI$98)+SUMIF(AL$2:AL$98,AP52,AJ$2:AJ$98)</f>
        <v>0</v>
      </c>
      <c r="AW52" s="95">
        <f>SUMIF(AH$2:AH$98,AP52,AK$2:AK$98)+SUMIF(AL$2:AL$98,AP52,AK$2:AK$98)</f>
        <v>0</v>
      </c>
      <c r="AX52" s="95">
        <f>AQ52-SUM(AV52:AW52)</f>
        <v>0</v>
      </c>
      <c r="AY52" s="95"/>
      <c r="AZ52" s="94">
        <f t="shared" ref="AZ52:AZ54" si="68">RANK(AR52,$AR$51:$AR$54)+RANK(AU52,$AU$51:$AU$54)/10+RANK(AS52,$AS$51:$AS$54,0)/100+RANK(AQ52,$AQ$51:$AQ$54,1)/500+VLOOKUP(AP52,$BF$3:$BG$50,2,0)/10000</f>
        <v>1.1149</v>
      </c>
      <c r="BA52" s="151"/>
      <c r="BB52"/>
      <c r="BC52" s="94"/>
      <c r="BD52" s="94"/>
      <c r="BE52" t="str">
        <f>Groepsloting!B51</f>
        <v>Frankrijk</v>
      </c>
      <c r="BF52" s="214"/>
      <c r="BG52" s="152"/>
      <c r="BH52"/>
    </row>
    <row r="53" spans="1:60" s="90" customFormat="1" ht="14.25" customHeight="1" x14ac:dyDescent="0.2">
      <c r="A53" s="127">
        <v>15</v>
      </c>
      <c r="B53" s="143" t="s">
        <v>480</v>
      </c>
      <c r="C53" s="142">
        <v>0.125</v>
      </c>
      <c r="D53" s="60" t="str">
        <f>Groepsloting!B40</f>
        <v>Iran</v>
      </c>
      <c r="E53" s="61" t="s">
        <v>5</v>
      </c>
      <c r="F53" s="60" t="str">
        <f>Groepsloting!B41</f>
        <v>Nieuw-Zeeland</v>
      </c>
      <c r="G53" s="17"/>
      <c r="H53" s="79" t="s">
        <v>5</v>
      </c>
      <c r="I53" s="17"/>
      <c r="J53" s="19">
        <f t="shared" si="59"/>
        <v>0</v>
      </c>
      <c r="K53" s="87"/>
      <c r="L53" s="156"/>
      <c r="M53" s="166" t="str">
        <f>Groepsloting!$B$202</f>
        <v>Juiste aantal doelpunten thuis spelend team (onjuiste toto)</v>
      </c>
      <c r="N53" s="166"/>
      <c r="O53" s="166">
        <v>1</v>
      </c>
      <c r="P53" s="166"/>
      <c r="Q53" s="166"/>
      <c r="R53" s="166"/>
      <c r="S53" s="166"/>
      <c r="T53" s="66"/>
      <c r="U53" s="66"/>
      <c r="V53" s="66"/>
      <c r="W53" s="69"/>
      <c r="X53" s="66"/>
      <c r="Y53" s="11">
        <v>3</v>
      </c>
      <c r="Z53" s="12" t="str">
        <f t="shared" si="60"/>
        <v>Noorwegen</v>
      </c>
      <c r="AA53" s="12">
        <f t="shared" si="61"/>
        <v>0</v>
      </c>
      <c r="AB53" s="12">
        <f t="shared" si="62"/>
        <v>0</v>
      </c>
      <c r="AC53" s="12">
        <f t="shared" si="63"/>
        <v>0</v>
      </c>
      <c r="AD53" s="12">
        <f t="shared" si="64"/>
        <v>0</v>
      </c>
      <c r="AE53" s="12">
        <f t="shared" si="65"/>
        <v>0</v>
      </c>
      <c r="AF53" s="4"/>
      <c r="AG53" s="92"/>
      <c r="AH53" s="92" t="str">
        <f>IF(Inschrijving!G53="","",Inschrijving!D53)</f>
        <v/>
      </c>
      <c r="AI53" s="92" t="str">
        <f>IF(Inschrijving!G53="","",IF(Inschrijving!G53&gt;Inschrijving!I53,1,0))</f>
        <v/>
      </c>
      <c r="AJ53" s="92" t="str">
        <f>IF(Inschrijving!G53="","",IF(Inschrijving!G53&lt;Inschrijving!I53,1,0))</f>
        <v/>
      </c>
      <c r="AK53" s="92" t="str">
        <f>IF(Inschrijving!G53="","",IF(Inschrijving!G53=Inschrijving!I53,1,0))</f>
        <v/>
      </c>
      <c r="AL53" s="92" t="str">
        <f>IF(Inschrijving!I53="","",Inschrijving!F53)</f>
        <v/>
      </c>
      <c r="AM53" s="4"/>
      <c r="AN53" s="4" t="str">
        <f>AP50&amp;AO53</f>
        <v>G2</v>
      </c>
      <c r="AO53" s="94">
        <f>RANK(AZ53,$AZ$51:$AZ$54,1)</f>
        <v>2</v>
      </c>
      <c r="AP53" s="94" t="str">
        <f>Groepsloting!B40</f>
        <v>Iran</v>
      </c>
      <c r="AQ53" s="95">
        <f>COUNTIF(AH$2:AH$98,AP53)+COUNTIF(AL$2:AL$98,AP53)</f>
        <v>0</v>
      </c>
      <c r="AR53" s="95">
        <f>AV53*3+AW53</f>
        <v>0</v>
      </c>
      <c r="AS53" s="95">
        <f t="shared" si="66"/>
        <v>0</v>
      </c>
      <c r="AT53" s="95">
        <f t="shared" si="67"/>
        <v>0</v>
      </c>
      <c r="AU53" s="95">
        <f>AS53-AT53</f>
        <v>0</v>
      </c>
      <c r="AV53" s="95">
        <f>SUMIF(AH$2:AH$98,AP53,AI$2:AI$98)+SUMIF(AL$2:AL$98,AP53,AJ$2:AJ$98)</f>
        <v>0</v>
      </c>
      <c r="AW53" s="95">
        <f>SUMIF(AH$2:AH$98,AP53,AK$2:AK$98)+SUMIF(AL$2:AL$98,AP53,AK$2:AK$98)</f>
        <v>0</v>
      </c>
      <c r="AX53" s="95">
        <f>AQ53-SUM(AV53:AW53)</f>
        <v>0</v>
      </c>
      <c r="AY53" s="95"/>
      <c r="AZ53" s="94">
        <f t="shared" si="68"/>
        <v>1.1141000000000001</v>
      </c>
      <c r="BA53" s="151"/>
      <c r="BB53"/>
      <c r="BC53" s="94"/>
      <c r="BD53" s="94"/>
      <c r="BE53" t="str">
        <f>Groepsloting!B52</f>
        <v>Senegal</v>
      </c>
      <c r="BF53" s="215"/>
      <c r="BG53" s="152"/>
      <c r="BH53"/>
    </row>
    <row r="54" spans="1:60" s="90" customFormat="1" ht="14.25" customHeight="1" x14ac:dyDescent="0.2">
      <c r="A54" s="127">
        <v>39</v>
      </c>
      <c r="B54" s="143" t="s">
        <v>479</v>
      </c>
      <c r="C54" s="142">
        <v>0.875</v>
      </c>
      <c r="D54" s="60" t="str">
        <f>D52</f>
        <v>België</v>
      </c>
      <c r="E54" s="61" t="s">
        <v>5</v>
      </c>
      <c r="F54" s="60" t="str">
        <f>D53</f>
        <v>Iran</v>
      </c>
      <c r="G54" s="17"/>
      <c r="H54" s="79" t="s">
        <v>5</v>
      </c>
      <c r="I54" s="17"/>
      <c r="J54" s="19">
        <f t="shared" si="59"/>
        <v>0</v>
      </c>
      <c r="K54" s="68"/>
      <c r="L54" s="156"/>
      <c r="M54" s="166"/>
      <c r="N54" s="166"/>
      <c r="O54" s="166"/>
      <c r="P54" s="166"/>
      <c r="Q54" s="166"/>
      <c r="R54" s="166"/>
      <c r="S54" s="166"/>
      <c r="T54" s="66"/>
      <c r="U54" s="66"/>
      <c r="V54" s="66"/>
      <c r="W54" s="69"/>
      <c r="X54" s="66"/>
      <c r="Y54" s="11">
        <v>4</v>
      </c>
      <c r="Z54" s="12" t="str">
        <f t="shared" si="60"/>
        <v>Irak</v>
      </c>
      <c r="AA54" s="12">
        <f t="shared" si="61"/>
        <v>0</v>
      </c>
      <c r="AB54" s="12">
        <f t="shared" si="62"/>
        <v>0</v>
      </c>
      <c r="AC54" s="12">
        <f t="shared" si="63"/>
        <v>0</v>
      </c>
      <c r="AD54" s="12">
        <f t="shared" si="64"/>
        <v>0</v>
      </c>
      <c r="AE54" s="12">
        <f t="shared" si="65"/>
        <v>0</v>
      </c>
      <c r="AF54" s="4"/>
      <c r="AG54" s="92"/>
      <c r="AH54" s="92" t="str">
        <f>IF(Inschrijving!G54="","",Inschrijving!D54)</f>
        <v/>
      </c>
      <c r="AI54" s="92" t="str">
        <f>IF(Inschrijving!G54="","",IF(Inschrijving!G54&gt;Inschrijving!I54,1,0))</f>
        <v/>
      </c>
      <c r="AJ54" s="92" t="str">
        <f>IF(Inschrijving!G54="","",IF(Inschrijving!G54&lt;Inschrijving!I54,1,0))</f>
        <v/>
      </c>
      <c r="AK54" s="92" t="str">
        <f>IF(Inschrijving!G54="","",IF(Inschrijving!G54=Inschrijving!I54,1,0))</f>
        <v/>
      </c>
      <c r="AL54" s="92" t="str">
        <f>IF(Inschrijving!I54="","",Inschrijving!F54)</f>
        <v/>
      </c>
      <c r="AM54" s="4"/>
      <c r="AN54" s="4" t="str">
        <f>AP50&amp;AO54</f>
        <v>G4</v>
      </c>
      <c r="AO54" s="94">
        <f>RANK(AZ54,$AZ$51:$AZ$54,1)</f>
        <v>4</v>
      </c>
      <c r="AP54" s="94" t="str">
        <f>Groepsloting!B41</f>
        <v>Nieuw-Zeeland</v>
      </c>
      <c r="AQ54" s="95">
        <f>COUNTIF(AH$2:AH$98,AP54)+COUNTIF(AL$2:AL$98,AP54)</f>
        <v>0</v>
      </c>
      <c r="AR54" s="95">
        <f>AV54*3+AW54</f>
        <v>0</v>
      </c>
      <c r="AS54" s="95">
        <f t="shared" si="66"/>
        <v>0</v>
      </c>
      <c r="AT54" s="95">
        <f t="shared" si="67"/>
        <v>0</v>
      </c>
      <c r="AU54" s="95">
        <f>AS54-AT54</f>
        <v>0</v>
      </c>
      <c r="AV54" s="95">
        <f>SUMIF(AH$2:AH$98,AP54,AI$2:AI$98)+SUMIF(AL$2:AL$98,AP54,AJ$2:AJ$98)</f>
        <v>0</v>
      </c>
      <c r="AW54" s="95">
        <f>SUMIF(AH$2:AH$98,AP54,AK$2:AK$98)+SUMIF(AL$2:AL$98,AP54,AK$2:AK$98)</f>
        <v>0</v>
      </c>
      <c r="AX54" s="95">
        <f>AQ54-SUM(AV54:AW54)</f>
        <v>0</v>
      </c>
      <c r="AY54" s="95"/>
      <c r="AZ54" s="94">
        <f t="shared" si="68"/>
        <v>1.1205000000000001</v>
      </c>
      <c r="BA54" s="151"/>
      <c r="BB54"/>
      <c r="BC54" s="94"/>
      <c r="BD54" s="94"/>
      <c r="BE54" t="str">
        <f>Groepsloting!B53</f>
        <v>Noorwegen</v>
      </c>
      <c r="BF54" s="152"/>
      <c r="BG54" s="152"/>
      <c r="BH54"/>
    </row>
    <row r="55" spans="1:60" s="90" customFormat="1" ht="14.25" customHeight="1" x14ac:dyDescent="0.2">
      <c r="A55" s="127">
        <v>40</v>
      </c>
      <c r="B55" s="143" t="s">
        <v>481</v>
      </c>
      <c r="C55" s="142">
        <v>0.125</v>
      </c>
      <c r="D55" s="60" t="str">
        <f>F53</f>
        <v>Nieuw-Zeeland</v>
      </c>
      <c r="E55" s="61" t="s">
        <v>5</v>
      </c>
      <c r="F55" s="60" t="str">
        <f>F52</f>
        <v>Egypte</v>
      </c>
      <c r="G55" s="17"/>
      <c r="H55" s="79" t="s">
        <v>5</v>
      </c>
      <c r="I55" s="17"/>
      <c r="J55" s="19">
        <f t="shared" si="59"/>
        <v>0</v>
      </c>
      <c r="K55" s="68"/>
      <c r="L55" s="156"/>
      <c r="M55" s="166" t="str">
        <f>Groepsloting!$B$203</f>
        <v>Juiste aantal doelpunten uit spelend team (juiste toto)</v>
      </c>
      <c r="N55" s="166"/>
      <c r="O55" s="166">
        <v>2</v>
      </c>
      <c r="P55" s="166"/>
      <c r="Q55" s="166"/>
      <c r="R55" s="166"/>
      <c r="S55" s="166"/>
      <c r="T55" s="66"/>
      <c r="U55" s="66"/>
      <c r="V55" s="66"/>
      <c r="W55" s="69"/>
      <c r="X55" s="66"/>
      <c r="Y55" s="4"/>
      <c r="Z55" s="9"/>
      <c r="AA55" s="4"/>
      <c r="AB55" s="14"/>
      <c r="AC55" s="4"/>
      <c r="AD55" s="4"/>
      <c r="AE55" s="4"/>
      <c r="AF55" s="4"/>
      <c r="AG55" s="92"/>
      <c r="AH55" s="92" t="str">
        <f>IF(Inschrijving!G55="","",Inschrijving!D55)</f>
        <v/>
      </c>
      <c r="AI55" s="92" t="str">
        <f>IF(Inschrijving!G55="","",IF(Inschrijving!G55&gt;Inschrijving!I55,1,0))</f>
        <v/>
      </c>
      <c r="AJ55" s="92" t="str">
        <f>IF(Inschrijving!G55="","",IF(Inschrijving!G55&lt;Inschrijving!I55,1,0))</f>
        <v/>
      </c>
      <c r="AK55" s="92" t="str">
        <f>IF(Inschrijving!G55="","",IF(Inschrijving!G55=Inschrijving!I55,1,0))</f>
        <v/>
      </c>
      <c r="AL55" s="92" t="str">
        <f>IF(Inschrijving!I55="","",Inschrijving!F55)</f>
        <v/>
      </c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/>
      <c r="BC55"/>
      <c r="BD55" s="4"/>
      <c r="BE55"/>
      <c r="BF55" s="152"/>
      <c r="BG55" s="152"/>
      <c r="BH55"/>
    </row>
    <row r="56" spans="1:60" s="90" customFormat="1" ht="14.25" customHeight="1" x14ac:dyDescent="0.2">
      <c r="A56" s="127">
        <v>63</v>
      </c>
      <c r="B56" s="143" t="s">
        <v>482</v>
      </c>
      <c r="C56" s="142">
        <v>0.20833333333333334</v>
      </c>
      <c r="D56" s="60" t="str">
        <f>F52</f>
        <v>Egypte</v>
      </c>
      <c r="E56" s="61" t="s">
        <v>5</v>
      </c>
      <c r="F56" s="60" t="str">
        <f>D53</f>
        <v>Iran</v>
      </c>
      <c r="G56" s="17"/>
      <c r="H56" s="79" t="s">
        <v>5</v>
      </c>
      <c r="I56" s="17"/>
      <c r="J56" s="19">
        <f t="shared" si="59"/>
        <v>0</v>
      </c>
      <c r="K56" s="68"/>
      <c r="L56" s="156"/>
      <c r="M56" s="166"/>
      <c r="N56" s="166"/>
      <c r="O56" s="166"/>
      <c r="P56" s="166"/>
      <c r="Q56" s="166"/>
      <c r="R56" s="166"/>
      <c r="S56" s="166"/>
      <c r="T56" s="66"/>
      <c r="U56" s="66"/>
      <c r="V56" s="66"/>
      <c r="W56" s="69"/>
      <c r="X56" s="66"/>
      <c r="Y56" s="15"/>
      <c r="Z56" s="15" t="s">
        <v>419</v>
      </c>
      <c r="AA56" s="16" t="s">
        <v>19</v>
      </c>
      <c r="AB56" s="16" t="s">
        <v>20</v>
      </c>
      <c r="AC56" s="16" t="s">
        <v>21</v>
      </c>
      <c r="AD56" s="16" t="s">
        <v>22</v>
      </c>
      <c r="AE56" s="16" t="s">
        <v>23</v>
      </c>
      <c r="AF56" s="4"/>
      <c r="AG56" s="92"/>
      <c r="AH56" s="92" t="str">
        <f>IF(Inschrijving!G56="","",Inschrijving!D56)</f>
        <v/>
      </c>
      <c r="AI56" s="92" t="str">
        <f>IF(Inschrijving!G56="","",IF(Inschrijving!G56&gt;Inschrijving!I56,1,0))</f>
        <v/>
      </c>
      <c r="AJ56" s="92" t="str">
        <f>IF(Inschrijving!G56="","",IF(Inschrijving!G56&lt;Inschrijving!I56,1,0))</f>
        <v/>
      </c>
      <c r="AK56" s="92" t="str">
        <f>IF(Inschrijving!G56="","",IF(Inschrijving!G56=Inschrijving!I56,1,0))</f>
        <v/>
      </c>
      <c r="AL56" s="92" t="str">
        <f>IF(Inschrijving!I56="","",Inschrijving!F56)</f>
        <v/>
      </c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/>
      <c r="BC56"/>
      <c r="BD56" s="4"/>
      <c r="BE56" s="91" t="str">
        <f>Groepsloting!B55</f>
        <v>Groep J</v>
      </c>
      <c r="BF56" s="152"/>
      <c r="BG56" s="152"/>
      <c r="BH56"/>
    </row>
    <row r="57" spans="1:60" s="90" customFormat="1" ht="14.25" customHeight="1" x14ac:dyDescent="0.2">
      <c r="A57" s="127">
        <v>64</v>
      </c>
      <c r="B57" s="143" t="s">
        <v>482</v>
      </c>
      <c r="C57" s="142">
        <v>0.20833333333333334</v>
      </c>
      <c r="D57" s="60" t="str">
        <f>F53</f>
        <v>Nieuw-Zeeland</v>
      </c>
      <c r="E57" s="61" t="s">
        <v>5</v>
      </c>
      <c r="F57" s="60" t="str">
        <f>D52</f>
        <v>België</v>
      </c>
      <c r="G57" s="17"/>
      <c r="H57" s="79" t="s">
        <v>5</v>
      </c>
      <c r="I57" s="17"/>
      <c r="J57" s="19">
        <f t="shared" si="59"/>
        <v>0</v>
      </c>
      <c r="K57" s="68"/>
      <c r="L57" s="156"/>
      <c r="M57" s="166" t="str">
        <f>Groepsloting!$B$204</f>
        <v>Juiste aantal doelpunten uit spelend team (onjuiste toto)</v>
      </c>
      <c r="N57" s="166"/>
      <c r="O57" s="166">
        <v>1</v>
      </c>
      <c r="P57" s="166"/>
      <c r="Q57" s="166"/>
      <c r="R57" s="166"/>
      <c r="S57" s="166"/>
      <c r="T57" s="66"/>
      <c r="U57" s="66"/>
      <c r="V57" s="66"/>
      <c r="W57" s="69"/>
      <c r="X57" s="66"/>
      <c r="Y57" s="11">
        <v>1</v>
      </c>
      <c r="Z57" s="12" t="str">
        <f>VLOOKUP($Y57,$AO$75:$AX$78,AP$1,0)</f>
        <v>Argentinië</v>
      </c>
      <c r="AA57" s="12">
        <f t="shared" ref="AA57:AE57" si="69">VLOOKUP($Y57,$AO$75:$AX$78,AQ$1,0)</f>
        <v>0</v>
      </c>
      <c r="AB57" s="12">
        <f t="shared" si="69"/>
        <v>0</v>
      </c>
      <c r="AC57" s="12">
        <f t="shared" si="69"/>
        <v>0</v>
      </c>
      <c r="AD57" s="12">
        <f t="shared" si="69"/>
        <v>0</v>
      </c>
      <c r="AE57" s="12">
        <f t="shared" si="69"/>
        <v>0</v>
      </c>
      <c r="AF57" s="4"/>
      <c r="AG57" s="92"/>
      <c r="AH57" s="92" t="str">
        <f>IF(Inschrijving!G57="","",Inschrijving!D57)</f>
        <v/>
      </c>
      <c r="AI57" s="92" t="str">
        <f>IF(Inschrijving!G57="","",IF(Inschrijving!G57&gt;Inschrijving!I57,1,0))</f>
        <v/>
      </c>
      <c r="AJ57" s="92" t="str">
        <f>IF(Inschrijving!G57="","",IF(Inschrijving!G57&lt;Inschrijving!I57,1,0))</f>
        <v/>
      </c>
      <c r="AK57" s="92" t="str">
        <f>IF(Inschrijving!G57="","",IF(Inschrijving!G57=Inschrijving!I57,1,0))</f>
        <v/>
      </c>
      <c r="AL57" s="92" t="str">
        <f>IF(Inschrijving!I57="","",Inschrijving!F57)</f>
        <v/>
      </c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/>
      <c r="BC57"/>
      <c r="BD57" s="4"/>
      <c r="BE57" t="str">
        <f>Groepsloting!B56</f>
        <v>Argentinië</v>
      </c>
      <c r="BF57" s="152"/>
      <c r="BG57" s="152"/>
      <c r="BH57"/>
    </row>
    <row r="58" spans="1:60" s="90" customFormat="1" ht="14.25" customHeight="1" x14ac:dyDescent="0.2">
      <c r="A58" s="127"/>
      <c r="B58" s="178"/>
      <c r="C58" s="179"/>
      <c r="D58" s="183"/>
      <c r="E58" s="184"/>
      <c r="F58" s="183"/>
      <c r="G58" s="180"/>
      <c r="H58" s="181"/>
      <c r="I58" s="180"/>
      <c r="J58" s="182"/>
      <c r="K58" s="68"/>
      <c r="L58" s="156"/>
      <c r="M58" s="166"/>
      <c r="N58" s="166"/>
      <c r="O58" s="166"/>
      <c r="P58" s="166"/>
      <c r="Q58" s="166"/>
      <c r="R58" s="166"/>
      <c r="S58" s="166"/>
      <c r="T58" s="66"/>
      <c r="U58" s="66"/>
      <c r="V58" s="66"/>
      <c r="W58" s="69"/>
      <c r="X58" s="66"/>
      <c r="Y58" s="11">
        <v>2</v>
      </c>
      <c r="Z58" s="12" t="str">
        <f t="shared" ref="Z58:Z60" si="70">VLOOKUP($Y58,$AO$75:$AX$78,AP$1,0)</f>
        <v>Oostenrijk</v>
      </c>
      <c r="AA58" s="12">
        <f t="shared" ref="AA58:AA60" si="71">VLOOKUP($Y58,$AO$75:$AX$78,AQ$1,0)</f>
        <v>0</v>
      </c>
      <c r="AB58" s="12">
        <f t="shared" ref="AB58:AB60" si="72">VLOOKUP($Y58,$AO$75:$AX$78,AR$1,0)</f>
        <v>0</v>
      </c>
      <c r="AC58" s="12">
        <f t="shared" ref="AC58:AC60" si="73">VLOOKUP($Y58,$AO$75:$AX$78,AS$1,0)</f>
        <v>0</v>
      </c>
      <c r="AD58" s="12">
        <f t="shared" ref="AD58:AD60" si="74">VLOOKUP($Y58,$AO$75:$AX$78,AT$1,0)</f>
        <v>0</v>
      </c>
      <c r="AE58" s="12">
        <f t="shared" ref="AE58:AE60" si="75">VLOOKUP($Y58,$AO$75:$AX$78,AU$1,0)</f>
        <v>0</v>
      </c>
      <c r="AF58" s="4"/>
      <c r="AG58" s="92"/>
      <c r="AH58" s="92"/>
      <c r="AI58" s="92"/>
      <c r="AJ58" s="92"/>
      <c r="AK58" s="92"/>
      <c r="AL58" s="92"/>
      <c r="AM58" s="4"/>
      <c r="AN58" s="4"/>
      <c r="AO58" s="94"/>
      <c r="AP58" s="94" t="s">
        <v>76</v>
      </c>
      <c r="AQ58" s="95" t="s">
        <v>61</v>
      </c>
      <c r="AR58" s="95" t="s">
        <v>68</v>
      </c>
      <c r="AS58" s="95" t="s">
        <v>65</v>
      </c>
      <c r="AT58" s="95" t="s">
        <v>66</v>
      </c>
      <c r="AU58" s="95" t="s">
        <v>67</v>
      </c>
      <c r="AV58" s="95" t="s">
        <v>62</v>
      </c>
      <c r="AW58" s="95" t="s">
        <v>63</v>
      </c>
      <c r="AX58" s="95" t="s">
        <v>64</v>
      </c>
      <c r="AY58" s="95"/>
      <c r="AZ58" s="94"/>
      <c r="BA58" s="94"/>
      <c r="BB58"/>
      <c r="BC58"/>
      <c r="BD58" s="94"/>
      <c r="BE58" t="str">
        <f>Groepsloting!B57</f>
        <v>Algerije</v>
      </c>
      <c r="BF58" s="152"/>
      <c r="BG58" s="152"/>
      <c r="BH58"/>
    </row>
    <row r="59" spans="1:60" s="90" customFormat="1" ht="14.25" customHeight="1" x14ac:dyDescent="0.2">
      <c r="A59" s="127"/>
      <c r="B59" s="62" t="str">
        <f>Groepsloting!$B$43</f>
        <v>Groep H</v>
      </c>
      <c r="C59" s="131"/>
      <c r="D59" s="58" t="str">
        <f>Groepsloting!$B$119</f>
        <v>Wedstrijd</v>
      </c>
      <c r="E59" s="59"/>
      <c r="F59" s="58"/>
      <c r="G59" s="58"/>
      <c r="H59" s="192" t="str">
        <f>Groepsloting!$B$120</f>
        <v>Uitslag</v>
      </c>
      <c r="I59" s="58"/>
      <c r="J59" s="64" t="str">
        <f>Groepsloting!$B$121</f>
        <v>Toto</v>
      </c>
      <c r="K59" s="68"/>
      <c r="L59" s="156"/>
      <c r="M59" s="166" t="str">
        <f>Groepsloting!$B$205</f>
        <v>Juiste "toto"-uitslag</v>
      </c>
      <c r="N59" s="166"/>
      <c r="O59" s="166">
        <v>3</v>
      </c>
      <c r="P59" s="166"/>
      <c r="Q59" s="166"/>
      <c r="R59" s="166"/>
      <c r="S59" s="166"/>
      <c r="T59" s="66"/>
      <c r="U59" s="66"/>
      <c r="V59" s="66"/>
      <c r="W59" s="69"/>
      <c r="X59" s="66"/>
      <c r="Y59" s="11">
        <v>3</v>
      </c>
      <c r="Z59" s="12" t="str">
        <f t="shared" si="70"/>
        <v>Algerije</v>
      </c>
      <c r="AA59" s="12">
        <f t="shared" si="71"/>
        <v>0</v>
      </c>
      <c r="AB59" s="12">
        <f t="shared" si="72"/>
        <v>0</v>
      </c>
      <c r="AC59" s="12">
        <f t="shared" si="73"/>
        <v>0</v>
      </c>
      <c r="AD59" s="12">
        <f t="shared" si="74"/>
        <v>0</v>
      </c>
      <c r="AE59" s="12">
        <f t="shared" si="75"/>
        <v>0</v>
      </c>
      <c r="AF59" s="4"/>
      <c r="AG59" s="92" t="s">
        <v>76</v>
      </c>
      <c r="AH59" s="93" t="s">
        <v>57</v>
      </c>
      <c r="AI59" s="93"/>
      <c r="AJ59" s="93"/>
      <c r="AK59" s="93"/>
      <c r="AL59" s="93" t="s">
        <v>59</v>
      </c>
      <c r="AM59" s="4"/>
      <c r="AN59" s="4" t="str">
        <f>AP58&amp;AO59</f>
        <v>H1</v>
      </c>
      <c r="AO59" s="94">
        <f>RANK(AZ59,$AZ$59:$AZ$62,1)</f>
        <v>1</v>
      </c>
      <c r="AP59" s="94" t="str">
        <f>Groepsloting!B44</f>
        <v>Spanje</v>
      </c>
      <c r="AQ59" s="95">
        <f>COUNTIF(AH$2:AH$98,AP59)+COUNTIF(AL$2:AL$98,AP59)</f>
        <v>0</v>
      </c>
      <c r="AR59" s="95">
        <f>AV59*3+AW59</f>
        <v>0</v>
      </c>
      <c r="AS59" s="95">
        <f>SUMIF($D$60:$D$65,AP59,$G$60:$G$65)+SUMIF($F$60:$F$65,AP59,$I$60:$I$65)</f>
        <v>0</v>
      </c>
      <c r="AT59" s="95">
        <f>SUMIF($D$60:$D$65,AP59,$I$60:$I$65)+SUMIF($F$60:$F$65,AP59,$G$60:$G$65)</f>
        <v>0</v>
      </c>
      <c r="AU59" s="95">
        <f>AS59-AT59</f>
        <v>0</v>
      </c>
      <c r="AV59" s="95">
        <f>SUMIF(AH$2:AH$98,AP59,AI$2:AI$98)+SUMIF(AL$2:AL$98,AP59,AJ$2:AJ$98)</f>
        <v>0</v>
      </c>
      <c r="AW59" s="95">
        <f>SUMIF(AH$2:AH$98,AP59,AK$2:AK$98)+SUMIF(AL$2:AL$98,AP59,AK$2:AK$98)</f>
        <v>0</v>
      </c>
      <c r="AX59" s="95">
        <f>AQ59-SUM(AV59:AW59)</f>
        <v>0</v>
      </c>
      <c r="AY59" s="95"/>
      <c r="AZ59" s="94">
        <f>RANK(AR59,$AR$59:$AR$62)+RANK(AU59,$AU$59:$AU$62)/10+RANK(AS59,$AS$59:$AS$62,0)/100+RANK(AQ59,$AQ$59:$AQ$62,1)/500+VLOOKUP(AP59,$BF$3:$BG$50,2,0)/10000</f>
        <v>1.1122000000000001</v>
      </c>
      <c r="BA59" s="151"/>
      <c r="BB59"/>
      <c r="BC59" s="94"/>
      <c r="BD59" s="94"/>
      <c r="BE59" t="str">
        <f>Groepsloting!B58</f>
        <v>Oostenrijk</v>
      </c>
      <c r="BF59" s="152"/>
      <c r="BG59" s="152"/>
      <c r="BH59"/>
    </row>
    <row r="60" spans="1:60" s="90" customFormat="1" ht="14.25" customHeight="1" x14ac:dyDescent="0.2">
      <c r="A60" s="127">
        <v>14</v>
      </c>
      <c r="B60" s="143" t="s">
        <v>477</v>
      </c>
      <c r="C60" s="142">
        <v>0.75</v>
      </c>
      <c r="D60" s="60" t="str">
        <f>Groepsloting!B44</f>
        <v>Spanje</v>
      </c>
      <c r="E60" s="61" t="s">
        <v>5</v>
      </c>
      <c r="F60" s="60" t="str">
        <f>Groepsloting!B45</f>
        <v>Kaapverdië</v>
      </c>
      <c r="G60" s="17"/>
      <c r="H60" s="79" t="s">
        <v>5</v>
      </c>
      <c r="I60" s="17"/>
      <c r="J60" s="19">
        <f t="shared" ref="J60:J65" si="76">IF(AND(G60="",I60=""),0,IF(G60&gt;I60,1,IF(G60&lt;I60,2,3)))</f>
        <v>0</v>
      </c>
      <c r="K60" s="68"/>
      <c r="L60" s="156"/>
      <c r="M60" s="166"/>
      <c r="N60" s="166"/>
      <c r="O60" s="166"/>
      <c r="P60" s="166"/>
      <c r="Q60" s="166"/>
      <c r="R60" s="166"/>
      <c r="S60" s="166"/>
      <c r="T60" s="66"/>
      <c r="U60" s="66"/>
      <c r="V60" s="66"/>
      <c r="W60" s="69"/>
      <c r="X60" s="66"/>
      <c r="Y60" s="11">
        <v>4</v>
      </c>
      <c r="Z60" s="12" t="str">
        <f t="shared" si="70"/>
        <v>Jordanië</v>
      </c>
      <c r="AA60" s="12">
        <f t="shared" si="71"/>
        <v>0</v>
      </c>
      <c r="AB60" s="12">
        <f t="shared" si="72"/>
        <v>0</v>
      </c>
      <c r="AC60" s="12">
        <f t="shared" si="73"/>
        <v>0</v>
      </c>
      <c r="AD60" s="12">
        <f t="shared" si="74"/>
        <v>0</v>
      </c>
      <c r="AE60" s="12">
        <f t="shared" si="75"/>
        <v>0</v>
      </c>
      <c r="AF60" s="4"/>
      <c r="AG60" s="92"/>
      <c r="AH60" s="92" t="str">
        <f>IF(Inschrijving!G60="","",Inschrijving!D60)</f>
        <v/>
      </c>
      <c r="AI60" s="92" t="str">
        <f>IF(Inschrijving!G60="","",IF(Inschrijving!G60&gt;Inschrijving!I60,1,0))</f>
        <v/>
      </c>
      <c r="AJ60" s="92" t="str">
        <f>IF(Inschrijving!G60="","",IF(Inschrijving!G60&lt;Inschrijving!I60,1,0))</f>
        <v/>
      </c>
      <c r="AK60" s="92" t="str">
        <f>IF(Inschrijving!G60="","",IF(Inschrijving!G60=Inschrijving!I60,1,0))</f>
        <v/>
      </c>
      <c r="AL60" s="92" t="str">
        <f>IF(Inschrijving!I60="","",Inschrijving!F60)</f>
        <v/>
      </c>
      <c r="AM60" s="4"/>
      <c r="AN60" s="4" t="str">
        <f>AP58&amp;AO60</f>
        <v>H4</v>
      </c>
      <c r="AO60" s="94">
        <f>RANK(AZ60,$AZ$59:$AZ$62,1)</f>
        <v>4</v>
      </c>
      <c r="AP60" s="94" t="str">
        <f>Groepsloting!B45</f>
        <v>Kaapverdië</v>
      </c>
      <c r="AQ60" s="95">
        <f>COUNTIF(AH$2:AH$98,AP60)+COUNTIF(AL$2:AL$98,AP60)</f>
        <v>0</v>
      </c>
      <c r="AR60" s="95">
        <f>AV60*3+AW60</f>
        <v>0</v>
      </c>
      <c r="AS60" s="95">
        <f t="shared" ref="AS60:AS62" si="77">SUMIF($D$60:$D$65,AP60,$G$60:$G$65)+SUMIF($F$60:$F$65,AP60,$I$60:$I$65)</f>
        <v>0</v>
      </c>
      <c r="AT60" s="95">
        <f t="shared" ref="AT60:AT62" si="78">SUMIF($D$60:$D$65,AP60,$I$60:$I$65)+SUMIF($F$60:$F$65,AP60,$G$60:$G$65)</f>
        <v>0</v>
      </c>
      <c r="AU60" s="95">
        <f>AS60-AT60</f>
        <v>0</v>
      </c>
      <c r="AV60" s="95">
        <f>SUMIF(AH$2:AH$98,AP60,AI$2:AI$98)+SUMIF(AL$2:AL$98,AP60,AJ$2:AJ$98)</f>
        <v>0</v>
      </c>
      <c r="AW60" s="95">
        <f>SUMIF(AH$2:AH$98,AP60,AK$2:AK$98)+SUMIF(AL$2:AL$98,AP60,AK$2:AK$98)</f>
        <v>0</v>
      </c>
      <c r="AX60" s="95">
        <f>AQ60-SUM(AV60:AW60)</f>
        <v>0</v>
      </c>
      <c r="AY60" s="95"/>
      <c r="AZ60" s="94">
        <f t="shared" ref="AZ60:AZ62" si="79">RANK(AR60,$AR$59:$AR$62)+RANK(AU60,$AU$59:$AU$62)/10+RANK(AS60,$AS$59:$AS$62,0)/100+RANK(AQ60,$AQ$59:$AQ$62,1)/500+VLOOKUP(AP60,$BF$3:$BG$50,2,0)/10000</f>
        <v>1.1189</v>
      </c>
      <c r="BA60" s="151"/>
      <c r="BB60"/>
      <c r="BC60" s="94"/>
      <c r="BD60" s="94"/>
      <c r="BE60" t="str">
        <f>Groepsloting!B59</f>
        <v>Jordanië</v>
      </c>
      <c r="BF60" s="152"/>
      <c r="BG60" s="152"/>
      <c r="BH60"/>
    </row>
    <row r="61" spans="1:60" s="90" customFormat="1" ht="14.25" customHeight="1" x14ac:dyDescent="0.2">
      <c r="A61" s="127">
        <v>13</v>
      </c>
      <c r="B61" s="143" t="s">
        <v>480</v>
      </c>
      <c r="C61" s="142">
        <v>0</v>
      </c>
      <c r="D61" s="60" t="str">
        <f>Groepsloting!B46</f>
        <v>Saoedi-Arabië</v>
      </c>
      <c r="E61" s="61" t="s">
        <v>5</v>
      </c>
      <c r="F61" s="60" t="str">
        <f>Groepsloting!B47</f>
        <v>Uruguay</v>
      </c>
      <c r="G61" s="17"/>
      <c r="H61" s="79" t="s">
        <v>5</v>
      </c>
      <c r="I61" s="17"/>
      <c r="J61" s="19">
        <f t="shared" si="76"/>
        <v>0</v>
      </c>
      <c r="K61" s="87"/>
      <c r="L61" s="156"/>
      <c r="M61" s="166" t="str">
        <f>Groepsloting!$B$206</f>
        <v>Team op juiste plaats in zestiende finale</v>
      </c>
      <c r="N61" s="166"/>
      <c r="O61" s="166">
        <v>6</v>
      </c>
      <c r="P61" s="166"/>
      <c r="Q61" s="166"/>
      <c r="R61" s="166"/>
      <c r="S61" s="166"/>
      <c r="T61" s="66"/>
      <c r="U61" s="66"/>
      <c r="V61" s="66"/>
      <c r="W61" s="69"/>
      <c r="X61" s="66"/>
      <c r="Y61" s="4"/>
      <c r="Z61" s="9"/>
      <c r="AA61" s="4"/>
      <c r="AB61" s="4"/>
      <c r="AC61" s="4"/>
      <c r="AD61" s="4"/>
      <c r="AE61" s="4"/>
      <c r="AF61" s="4"/>
      <c r="AG61" s="92"/>
      <c r="AH61" s="92" t="str">
        <f>IF(Inschrijving!G61="","",Inschrijving!D61)</f>
        <v/>
      </c>
      <c r="AI61" s="92" t="str">
        <f>IF(Inschrijving!G61="","",IF(Inschrijving!G61&gt;Inschrijving!I61,1,0))</f>
        <v/>
      </c>
      <c r="AJ61" s="92" t="str">
        <f>IF(Inschrijving!G61="","",IF(Inschrijving!G61&lt;Inschrijving!I61,1,0))</f>
        <v/>
      </c>
      <c r="AK61" s="92" t="str">
        <f>IF(Inschrijving!G61="","",IF(Inschrijving!G61=Inschrijving!I61,1,0))</f>
        <v/>
      </c>
      <c r="AL61" s="92" t="str">
        <f>IF(Inschrijving!I61="","",Inschrijving!F61)</f>
        <v/>
      </c>
      <c r="AM61" s="4"/>
      <c r="AN61" s="4" t="str">
        <f>AP58&amp;AO61</f>
        <v>H3</v>
      </c>
      <c r="AO61" s="94">
        <f>RANK(AZ61,$AZ$59:$AZ$62,1)</f>
        <v>3</v>
      </c>
      <c r="AP61" s="94" t="str">
        <f>Groepsloting!B46</f>
        <v>Saoedi-Arabië</v>
      </c>
      <c r="AQ61" s="95">
        <f>COUNTIF(AH$2:AH$98,AP61)+COUNTIF(AL$2:AL$98,AP61)</f>
        <v>0</v>
      </c>
      <c r="AR61" s="95">
        <f>AV61*3+AW61</f>
        <v>0</v>
      </c>
      <c r="AS61" s="95">
        <f t="shared" si="77"/>
        <v>0</v>
      </c>
      <c r="AT61" s="95">
        <f t="shared" si="78"/>
        <v>0</v>
      </c>
      <c r="AU61" s="95">
        <f>AS61-AT61</f>
        <v>0</v>
      </c>
      <c r="AV61" s="95">
        <f>SUMIF(AH$2:AH$98,AP61,AI$2:AI$98)+SUMIF(AL$2:AL$98,AP61,AJ$2:AJ$98)</f>
        <v>0</v>
      </c>
      <c r="AW61" s="95">
        <f>SUMIF(AH$2:AH$98,AP61,AK$2:AK$98)+SUMIF(AL$2:AL$98,AP61,AK$2:AK$98)</f>
        <v>0</v>
      </c>
      <c r="AX61" s="95">
        <f>AQ61-SUM(AV61:AW61)</f>
        <v>0</v>
      </c>
      <c r="AY61" s="95"/>
      <c r="AZ61" s="94">
        <f t="shared" si="79"/>
        <v>1.1181000000000001</v>
      </c>
      <c r="BA61" s="151"/>
      <c r="BB61"/>
      <c r="BC61" s="94"/>
      <c r="BD61" s="94"/>
      <c r="BE61"/>
      <c r="BF61" s="152"/>
      <c r="BG61" s="152"/>
      <c r="BH61"/>
    </row>
    <row r="62" spans="1:60" s="90" customFormat="1" ht="14.25" customHeight="1" x14ac:dyDescent="0.2">
      <c r="A62" s="127">
        <v>38</v>
      </c>
      <c r="B62" s="143" t="s">
        <v>479</v>
      </c>
      <c r="C62" s="142">
        <v>0.75</v>
      </c>
      <c r="D62" s="60" t="str">
        <f>D60</f>
        <v>Spanje</v>
      </c>
      <c r="E62" s="61" t="s">
        <v>5</v>
      </c>
      <c r="F62" s="60" t="str">
        <f>D61</f>
        <v>Saoedi-Arabië</v>
      </c>
      <c r="G62" s="17"/>
      <c r="H62" s="79" t="s">
        <v>5</v>
      </c>
      <c r="I62" s="17"/>
      <c r="J62" s="19">
        <f t="shared" si="76"/>
        <v>0</v>
      </c>
      <c r="K62" s="68"/>
      <c r="L62" s="156"/>
      <c r="M62" s="166"/>
      <c r="N62" s="166"/>
      <c r="O62" s="166"/>
      <c r="P62" s="166"/>
      <c r="Q62" s="166"/>
      <c r="R62" s="166"/>
      <c r="S62" s="166"/>
      <c r="T62" s="66"/>
      <c r="U62" s="66"/>
      <c r="V62" s="66"/>
      <c r="W62" s="69"/>
      <c r="X62" s="66"/>
      <c r="Y62" s="15"/>
      <c r="Z62" s="15" t="s">
        <v>420</v>
      </c>
      <c r="AA62" s="16" t="s">
        <v>19</v>
      </c>
      <c r="AB62" s="16" t="s">
        <v>20</v>
      </c>
      <c r="AC62" s="16" t="s">
        <v>21</v>
      </c>
      <c r="AD62" s="16" t="s">
        <v>22</v>
      </c>
      <c r="AE62" s="16" t="s">
        <v>23</v>
      </c>
      <c r="AF62" s="4"/>
      <c r="AG62" s="92"/>
      <c r="AH62" s="92" t="str">
        <f>IF(Inschrijving!G62="","",Inschrijving!D62)</f>
        <v/>
      </c>
      <c r="AI62" s="92" t="str">
        <f>IF(Inschrijving!G62="","",IF(Inschrijving!G62&gt;Inschrijving!I62,1,0))</f>
        <v/>
      </c>
      <c r="AJ62" s="92" t="str">
        <f>IF(Inschrijving!G62="","",IF(Inschrijving!G62&lt;Inschrijving!I62,1,0))</f>
        <v/>
      </c>
      <c r="AK62" s="92" t="str">
        <f>IF(Inschrijving!G62="","",IF(Inschrijving!G62=Inschrijving!I62,1,0))</f>
        <v/>
      </c>
      <c r="AL62" s="92" t="str">
        <f>IF(Inschrijving!I62="","",Inschrijving!F62)</f>
        <v/>
      </c>
      <c r="AM62" s="4"/>
      <c r="AN62" s="4" t="str">
        <f>AP58&amp;AO62</f>
        <v>H2</v>
      </c>
      <c r="AO62" s="94">
        <f>RANK(AZ62,$AZ$59:$AZ$62,1)</f>
        <v>2</v>
      </c>
      <c r="AP62" s="94" t="str">
        <f>Groepsloting!B47</f>
        <v>Uruguay</v>
      </c>
      <c r="AQ62" s="95">
        <f>COUNTIF(AH$2:AH$98,AP62)+COUNTIF(AL$2:AL$98,AP62)</f>
        <v>0</v>
      </c>
      <c r="AR62" s="95">
        <f>AV62*3+AW62</f>
        <v>0</v>
      </c>
      <c r="AS62" s="95">
        <f t="shared" si="77"/>
        <v>0</v>
      </c>
      <c r="AT62" s="95">
        <f t="shared" si="78"/>
        <v>0</v>
      </c>
      <c r="AU62" s="95">
        <f>AS62-AT62</f>
        <v>0</v>
      </c>
      <c r="AV62" s="95">
        <f>SUMIF(AH$2:AH$98,AP62,AI$2:AI$98)+SUMIF(AL$2:AL$98,AP62,AJ$2:AJ$98)</f>
        <v>0</v>
      </c>
      <c r="AW62" s="95">
        <f>SUMIF(AH$2:AH$98,AP62,AK$2:AK$98)+SUMIF(AL$2:AL$98,AP62,AK$2:AK$98)</f>
        <v>0</v>
      </c>
      <c r="AX62" s="95">
        <f>AQ62-SUM(AV62:AW62)</f>
        <v>0</v>
      </c>
      <c r="AY62" s="95"/>
      <c r="AZ62" s="94">
        <f t="shared" si="79"/>
        <v>1.1137000000000001</v>
      </c>
      <c r="BA62" s="151"/>
      <c r="BB62"/>
      <c r="BC62" s="94"/>
      <c r="BD62" s="94"/>
      <c r="BE62" s="91" t="str">
        <f>Groepsloting!B61</f>
        <v>Groep K</v>
      </c>
      <c r="BF62" s="152"/>
      <c r="BG62" s="152"/>
      <c r="BH62"/>
    </row>
    <row r="63" spans="1:60" s="90" customFormat="1" ht="14.25" customHeight="1" x14ac:dyDescent="0.2">
      <c r="A63" s="127">
        <v>37</v>
      </c>
      <c r="B63" s="143" t="s">
        <v>481</v>
      </c>
      <c r="C63" s="142">
        <v>0</v>
      </c>
      <c r="D63" s="60" t="str">
        <f>F61</f>
        <v>Uruguay</v>
      </c>
      <c r="E63" s="61" t="s">
        <v>5</v>
      </c>
      <c r="F63" s="60" t="str">
        <f>F60</f>
        <v>Kaapverdië</v>
      </c>
      <c r="G63" s="17"/>
      <c r="H63" s="79" t="s">
        <v>5</v>
      </c>
      <c r="I63" s="17"/>
      <c r="J63" s="19">
        <f t="shared" si="76"/>
        <v>0</v>
      </c>
      <c r="K63" s="68"/>
      <c r="L63" s="156"/>
      <c r="M63" s="166" t="str">
        <f>Groepsloting!$B$207</f>
        <v>Team op onjuiste plaats in zestiende finale</v>
      </c>
      <c r="N63" s="166"/>
      <c r="O63" s="166">
        <v>3</v>
      </c>
      <c r="P63" s="166"/>
      <c r="Q63" s="166"/>
      <c r="R63" s="166"/>
      <c r="S63" s="166"/>
      <c r="T63" s="66"/>
      <c r="U63" s="66"/>
      <c r="V63" s="66"/>
      <c r="W63" s="69"/>
      <c r="X63" s="66"/>
      <c r="Y63" s="11">
        <v>1</v>
      </c>
      <c r="Z63" s="12" t="str">
        <f>VLOOKUP($Y63,$AO$83:$AX$86,AP$1,0)</f>
        <v>Portugal</v>
      </c>
      <c r="AA63" s="12">
        <f t="shared" ref="AA63:AE63" si="80">VLOOKUP($Y63,$AO$83:$AX$86,AQ$1,0)</f>
        <v>0</v>
      </c>
      <c r="AB63" s="12">
        <f t="shared" si="80"/>
        <v>0</v>
      </c>
      <c r="AC63" s="12">
        <f t="shared" si="80"/>
        <v>0</v>
      </c>
      <c r="AD63" s="12">
        <f t="shared" si="80"/>
        <v>0</v>
      </c>
      <c r="AE63" s="12">
        <f t="shared" si="80"/>
        <v>0</v>
      </c>
      <c r="AF63" s="4"/>
      <c r="AG63" s="92"/>
      <c r="AH63" s="92" t="str">
        <f>IF(Inschrijving!G63="","",Inschrijving!D63)</f>
        <v/>
      </c>
      <c r="AI63" s="92" t="str">
        <f>IF(Inschrijving!G63="","",IF(Inschrijving!G63&gt;Inschrijving!I63,1,0))</f>
        <v/>
      </c>
      <c r="AJ63" s="92" t="str">
        <f>IF(Inschrijving!G63="","",IF(Inschrijving!G63&lt;Inschrijving!I63,1,0))</f>
        <v/>
      </c>
      <c r="AK63" s="92" t="str">
        <f>IF(Inschrijving!G63="","",IF(Inschrijving!G63=Inschrijving!I63,1,0))</f>
        <v/>
      </c>
      <c r="AL63" s="92" t="str">
        <f>IF(Inschrijving!I63="","",Inschrijving!F63)</f>
        <v/>
      </c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/>
      <c r="BC63"/>
      <c r="BD63" s="4"/>
      <c r="BE63" t="str">
        <f>Groepsloting!B62</f>
        <v>Congo</v>
      </c>
      <c r="BF63" s="152"/>
      <c r="BG63" s="152"/>
      <c r="BH63"/>
    </row>
    <row r="64" spans="1:60" s="90" customFormat="1" ht="14.25" customHeight="1" x14ac:dyDescent="0.2">
      <c r="A64" s="127">
        <v>65</v>
      </c>
      <c r="B64" s="143" t="s">
        <v>482</v>
      </c>
      <c r="C64" s="142">
        <v>8.3333333333333329E-2</v>
      </c>
      <c r="D64" s="60" t="str">
        <f>F60</f>
        <v>Kaapverdië</v>
      </c>
      <c r="E64" s="61" t="s">
        <v>5</v>
      </c>
      <c r="F64" s="60" t="str">
        <f>D61</f>
        <v>Saoedi-Arabië</v>
      </c>
      <c r="G64" s="17"/>
      <c r="H64" s="79" t="s">
        <v>5</v>
      </c>
      <c r="I64" s="17"/>
      <c r="J64" s="19">
        <f t="shared" si="76"/>
        <v>0</v>
      </c>
      <c r="K64" s="68"/>
      <c r="L64" s="156"/>
      <c r="M64" s="166"/>
      <c r="N64" s="166"/>
      <c r="O64" s="166"/>
      <c r="P64" s="166"/>
      <c r="Q64" s="166"/>
      <c r="R64" s="166"/>
      <c r="S64" s="166"/>
      <c r="T64" s="66"/>
      <c r="U64" s="66"/>
      <c r="V64" s="66"/>
      <c r="W64" s="69"/>
      <c r="X64" s="66"/>
      <c r="Y64" s="11">
        <v>2</v>
      </c>
      <c r="Z64" s="12" t="str">
        <f t="shared" ref="Z64:Z66" si="81">VLOOKUP($Y64,$AO$83:$AX$86,AP$1,0)</f>
        <v>Colombia</v>
      </c>
      <c r="AA64" s="12">
        <f t="shared" ref="AA64:AA66" si="82">VLOOKUP($Y64,$AO$83:$AX$86,AQ$1,0)</f>
        <v>0</v>
      </c>
      <c r="AB64" s="12">
        <f t="shared" ref="AB64:AB66" si="83">VLOOKUP($Y64,$AO$83:$AX$86,AR$1,0)</f>
        <v>0</v>
      </c>
      <c r="AC64" s="12">
        <f t="shared" ref="AC64:AC66" si="84">VLOOKUP($Y64,$AO$83:$AX$86,AS$1,0)</f>
        <v>0</v>
      </c>
      <c r="AD64" s="12">
        <f t="shared" ref="AD64:AD66" si="85">VLOOKUP($Y64,$AO$83:$AX$86,AT$1,0)</f>
        <v>0</v>
      </c>
      <c r="AE64" s="12">
        <f t="shared" ref="AE64:AE66" si="86">VLOOKUP($Y64,$AO$83:$AX$86,AU$1,0)</f>
        <v>0</v>
      </c>
      <c r="AF64" s="4"/>
      <c r="AG64" s="92"/>
      <c r="AH64" s="92" t="str">
        <f>IF(Inschrijving!G64="","",Inschrijving!D64)</f>
        <v/>
      </c>
      <c r="AI64" s="92" t="str">
        <f>IF(Inschrijving!G64="","",IF(Inschrijving!G64&gt;Inschrijving!I64,1,0))</f>
        <v/>
      </c>
      <c r="AJ64" s="92" t="str">
        <f>IF(Inschrijving!G64="","",IF(Inschrijving!G64&lt;Inschrijving!I64,1,0))</f>
        <v/>
      </c>
      <c r="AK64" s="92" t="str">
        <f>IF(Inschrijving!G64="","",IF(Inschrijving!G64=Inschrijving!I64,1,0))</f>
        <v/>
      </c>
      <c r="AL64" s="92" t="str">
        <f>IF(Inschrijving!I64="","",Inschrijving!F64)</f>
        <v/>
      </c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/>
      <c r="BC64"/>
      <c r="BD64" s="4"/>
      <c r="BE64" t="str">
        <f>Groepsloting!B63</f>
        <v>Portugal</v>
      </c>
      <c r="BF64" s="152"/>
      <c r="BG64" s="152"/>
      <c r="BH64"/>
    </row>
    <row r="65" spans="1:60" s="90" customFormat="1" ht="14.25" customHeight="1" x14ac:dyDescent="0.2">
      <c r="A65" s="127">
        <v>66</v>
      </c>
      <c r="B65" s="143" t="s">
        <v>482</v>
      </c>
      <c r="C65" s="142">
        <v>8.3333333333333329E-2</v>
      </c>
      <c r="D65" s="60" t="str">
        <f>F61</f>
        <v>Uruguay</v>
      </c>
      <c r="E65" s="61" t="s">
        <v>5</v>
      </c>
      <c r="F65" s="60" t="str">
        <f>D60</f>
        <v>Spanje</v>
      </c>
      <c r="G65" s="17"/>
      <c r="H65" s="79" t="s">
        <v>5</v>
      </c>
      <c r="I65" s="17"/>
      <c r="J65" s="19">
        <f t="shared" si="76"/>
        <v>0</v>
      </c>
      <c r="K65" s="68"/>
      <c r="L65" s="156"/>
      <c r="M65" s="166" t="str">
        <f>Groepsloting!$B$208</f>
        <v>Juiste team in achtste finale, op welke plaats dan ook</v>
      </c>
      <c r="O65" s="210">
        <v>8</v>
      </c>
      <c r="W65" s="69"/>
      <c r="X65" s="66"/>
      <c r="Y65" s="11">
        <v>3</v>
      </c>
      <c r="Z65" s="12" t="str">
        <f t="shared" si="81"/>
        <v>Congo</v>
      </c>
      <c r="AA65" s="12">
        <f t="shared" si="82"/>
        <v>0</v>
      </c>
      <c r="AB65" s="12">
        <f t="shared" si="83"/>
        <v>0</v>
      </c>
      <c r="AC65" s="12">
        <f t="shared" si="84"/>
        <v>0</v>
      </c>
      <c r="AD65" s="12">
        <f t="shared" si="85"/>
        <v>0</v>
      </c>
      <c r="AE65" s="12">
        <f t="shared" si="86"/>
        <v>0</v>
      </c>
      <c r="AF65" s="4"/>
      <c r="AG65" s="92"/>
      <c r="AH65" s="92" t="str">
        <f>IF(Inschrijving!G65="","",Inschrijving!D65)</f>
        <v/>
      </c>
      <c r="AI65" s="92" t="str">
        <f>IF(Inschrijving!G65="","",IF(Inschrijving!G65&gt;Inschrijving!I65,1,0))</f>
        <v/>
      </c>
      <c r="AJ65" s="92" t="str">
        <f>IF(Inschrijving!G65="","",IF(Inschrijving!G65&lt;Inschrijving!I65,1,0))</f>
        <v/>
      </c>
      <c r="AK65" s="92" t="str">
        <f>IF(Inschrijving!G65="","",IF(Inschrijving!G65=Inschrijving!I65,1,0))</f>
        <v/>
      </c>
      <c r="AL65" s="92" t="str">
        <f>IF(Inschrijving!I65="","",Inschrijving!F65)</f>
        <v/>
      </c>
      <c r="AM65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/>
      <c r="BB65"/>
      <c r="BC65"/>
      <c r="BD65" s="4"/>
      <c r="BE65" t="str">
        <f>Groepsloting!B64</f>
        <v>Oezbekistan</v>
      </c>
      <c r="BF65" s="152"/>
      <c r="BG65" s="152"/>
      <c r="BH65"/>
    </row>
    <row r="66" spans="1:60" s="90" customFormat="1" ht="14.25" customHeight="1" x14ac:dyDescent="0.2">
      <c r="A66" s="127"/>
      <c r="B66" s="178"/>
      <c r="C66" s="179"/>
      <c r="D66" s="183"/>
      <c r="E66" s="184"/>
      <c r="F66" s="183"/>
      <c r="G66" s="182"/>
      <c r="H66" s="184"/>
      <c r="I66" s="182"/>
      <c r="J66" s="182"/>
      <c r="K66" s="68"/>
      <c r="L66" s="156"/>
      <c r="W66" s="69"/>
      <c r="X66" s="66"/>
      <c r="Y66" s="11">
        <v>4</v>
      </c>
      <c r="Z66" s="12" t="str">
        <f t="shared" si="81"/>
        <v>Oezbekistan</v>
      </c>
      <c r="AA66" s="12">
        <f t="shared" si="82"/>
        <v>0</v>
      </c>
      <c r="AB66" s="12">
        <f t="shared" si="83"/>
        <v>0</v>
      </c>
      <c r="AC66" s="12">
        <f t="shared" si="84"/>
        <v>0</v>
      </c>
      <c r="AD66" s="12">
        <f t="shared" si="85"/>
        <v>0</v>
      </c>
      <c r="AE66" s="12">
        <f t="shared" si="86"/>
        <v>0</v>
      </c>
      <c r="AF66" s="4"/>
      <c r="AG66" s="92"/>
      <c r="AH66" s="92"/>
      <c r="AI66" s="92"/>
      <c r="AJ66" s="92"/>
      <c r="AK66" s="92"/>
      <c r="AL66" s="92"/>
      <c r="AM66"/>
      <c r="AN66" s="4"/>
      <c r="AO66" s="94"/>
      <c r="AP66" s="94" t="s">
        <v>464</v>
      </c>
      <c r="AQ66" s="95" t="s">
        <v>61</v>
      </c>
      <c r="AR66" s="95" t="s">
        <v>68</v>
      </c>
      <c r="AS66" s="95" t="s">
        <v>65</v>
      </c>
      <c r="AT66" s="95" t="s">
        <v>66</v>
      </c>
      <c r="AU66" s="95" t="s">
        <v>67</v>
      </c>
      <c r="AV66" s="95" t="s">
        <v>62</v>
      </c>
      <c r="AW66" s="95" t="s">
        <v>63</v>
      </c>
      <c r="AX66" s="95" t="s">
        <v>64</v>
      </c>
      <c r="AY66" s="95"/>
      <c r="AZ66" s="94"/>
      <c r="BA66"/>
      <c r="BB66"/>
      <c r="BC66"/>
      <c r="BD66" s="94"/>
      <c r="BE66" t="str">
        <f>Groepsloting!B65</f>
        <v>Colombia</v>
      </c>
      <c r="BF66" s="152"/>
      <c r="BG66" s="152"/>
      <c r="BH66"/>
    </row>
    <row r="67" spans="1:60" s="90" customFormat="1" ht="14.25" customHeight="1" x14ac:dyDescent="0.2">
      <c r="A67" s="127"/>
      <c r="B67" s="62" t="str">
        <f>Groepsloting!$B$49</f>
        <v>Groep I</v>
      </c>
      <c r="C67" s="131"/>
      <c r="D67" s="58" t="str">
        <f>Groepsloting!$B$119</f>
        <v>Wedstrijd</v>
      </c>
      <c r="E67" s="59"/>
      <c r="F67" s="58"/>
      <c r="G67" s="58"/>
      <c r="H67" s="192" t="str">
        <f>Groepsloting!$B$120</f>
        <v>Uitslag</v>
      </c>
      <c r="I67" s="58"/>
      <c r="J67" s="64" t="str">
        <f>Groepsloting!$B$121</f>
        <v>Toto</v>
      </c>
      <c r="K67" s="68"/>
      <c r="L67" s="156"/>
      <c r="M67" s="166" t="str">
        <f>Groepsloting!$B$209</f>
        <v>Juiste team in kwartfinale, op welke plaats dan ook</v>
      </c>
      <c r="N67" s="166"/>
      <c r="O67" s="166">
        <v>10</v>
      </c>
      <c r="P67" s="166"/>
      <c r="Q67" s="166"/>
      <c r="R67" s="166"/>
      <c r="S67" s="166"/>
      <c r="T67" s="66"/>
      <c r="U67" s="66"/>
      <c r="V67" s="66"/>
      <c r="W67" s="69"/>
      <c r="X67" s="66"/>
      <c r="Y67" s="4"/>
      <c r="Z67" s="9"/>
      <c r="AA67" s="4"/>
      <c r="AB67" s="4"/>
      <c r="AC67" s="4"/>
      <c r="AD67" s="4"/>
      <c r="AE67" s="4"/>
      <c r="AF67" s="4"/>
      <c r="AG67" s="92" t="s">
        <v>464</v>
      </c>
      <c r="AH67" s="93" t="s">
        <v>57</v>
      </c>
      <c r="AI67" s="93"/>
      <c r="AJ67" s="93"/>
      <c r="AK67" s="93"/>
      <c r="AL67" s="93" t="s">
        <v>59</v>
      </c>
      <c r="AM67"/>
      <c r="AN67" s="4" t="str">
        <f>AP66&amp;AO67</f>
        <v>I4</v>
      </c>
      <c r="AO67" s="94">
        <f>RANK(AZ67,$AZ$67:$AZ$70,1)</f>
        <v>4</v>
      </c>
      <c r="AP67" s="94" t="str">
        <f>Groepsloting!B50</f>
        <v>Irak</v>
      </c>
      <c r="AQ67" s="95">
        <f>COUNTIF(AH$2:AH$98,AP67)+COUNTIF(AL$2:AL$98,AP67)</f>
        <v>0</v>
      </c>
      <c r="AR67" s="95">
        <f>AV67*3+AW67</f>
        <v>0</v>
      </c>
      <c r="AS67" s="95">
        <f>SUMIF($D$68:$D$73,AP67,$G$68:$G$73)+SUMIF($F$68:$F$73,AP67,$I$68:$I$73)</f>
        <v>0</v>
      </c>
      <c r="AT67" s="95">
        <f>SUMIF($D$68:$D$73,AP67,$I$68:$I$73)+SUMIF($F$68:$F$73,AP67,$G$68:$G$73)</f>
        <v>0</v>
      </c>
      <c r="AU67" s="95">
        <f>AS67-AT67</f>
        <v>0</v>
      </c>
      <c r="AV67" s="95">
        <f>SUMIF(AH$2:AH$98,AP67,AI$2:AI$98)+SUMIF(AL$2:AL$98,AP67,AJ$2:AJ$98)</f>
        <v>0</v>
      </c>
      <c r="AW67" s="95">
        <f>SUMIF(AH$2:AH$98,AP67,AK$2:AK$98)+SUMIF(AL$2:AL$98,AP67,AK$2:AK$98)</f>
        <v>0</v>
      </c>
      <c r="AX67" s="95">
        <f>AQ67-SUM(AV67:AW67)</f>
        <v>0</v>
      </c>
      <c r="AY67" s="95"/>
      <c r="AZ67" s="94">
        <f>RANK(AR67,$AR$67:$AR$70)+RANK(AU67,$AU$67:$AU$70)/10+RANK(AS67,$AS$67:$AS$70,0)/100+RANK(AQ67,$AQ$67:$AQ$70,1)/500+VLOOKUP(AP67,$BF$3:$BG$50,2,0)/10000</f>
        <v>1.1177000000000001</v>
      </c>
      <c r="BA67" s="151"/>
      <c r="BB67"/>
      <c r="BC67" s="94"/>
      <c r="BD67" s="94"/>
      <c r="BE67"/>
      <c r="BF67" s="152"/>
      <c r="BG67" s="152"/>
      <c r="BH67"/>
    </row>
    <row r="68" spans="1:60" s="90" customFormat="1" ht="14.25" customHeight="1" x14ac:dyDescent="0.2">
      <c r="A68" s="127">
        <v>17</v>
      </c>
      <c r="B68" s="143" t="s">
        <v>480</v>
      </c>
      <c r="C68" s="142">
        <v>0.875</v>
      </c>
      <c r="D68" s="60" t="str">
        <f>Groepsloting!B51</f>
        <v>Frankrijk</v>
      </c>
      <c r="E68" s="61" t="s">
        <v>5</v>
      </c>
      <c r="F68" s="60" t="str">
        <f>Groepsloting!B52</f>
        <v>Senegal</v>
      </c>
      <c r="G68" s="17"/>
      <c r="H68" s="79" t="s">
        <v>5</v>
      </c>
      <c r="I68" s="17"/>
      <c r="J68" s="19">
        <f t="shared" ref="J68:J73" si="87">IF(AND(G68="",I68=""),0,IF(G68&gt;I68,1,IF(G68&lt;I68,2,3)))</f>
        <v>0</v>
      </c>
      <c r="K68" s="68"/>
      <c r="L68" s="156"/>
      <c r="M68" s="166"/>
      <c r="N68" s="166"/>
      <c r="O68" s="166"/>
      <c r="P68" s="166"/>
      <c r="Q68" s="166"/>
      <c r="R68" s="166"/>
      <c r="S68" s="166"/>
      <c r="T68" s="66"/>
      <c r="U68" s="66"/>
      <c r="V68" s="66"/>
      <c r="W68" s="69"/>
      <c r="X68" s="66"/>
      <c r="Y68" s="15"/>
      <c r="Z68" s="15" t="s">
        <v>421</v>
      </c>
      <c r="AA68" s="16" t="s">
        <v>19</v>
      </c>
      <c r="AB68" s="16" t="s">
        <v>20</v>
      </c>
      <c r="AC68" s="16" t="s">
        <v>21</v>
      </c>
      <c r="AD68" s="16" t="s">
        <v>22</v>
      </c>
      <c r="AE68" s="16" t="s">
        <v>23</v>
      </c>
      <c r="AF68" s="4"/>
      <c r="AG68" s="92"/>
      <c r="AH68" s="92" t="str">
        <f>IF(Inschrijving!G68="","",Inschrijving!D68)</f>
        <v/>
      </c>
      <c r="AI68" s="92" t="str">
        <f>IF(Inschrijving!G68="","",IF(Inschrijving!G68&gt;Inschrijving!I68,1,0))</f>
        <v/>
      </c>
      <c r="AJ68" s="92" t="str">
        <f>IF(Inschrijving!G68="","",IF(Inschrijving!G68&lt;Inschrijving!I68,1,0))</f>
        <v/>
      </c>
      <c r="AK68" s="92" t="str">
        <f>IF(Inschrijving!G68="","",IF(Inschrijving!G68=Inschrijving!I68,1,0))</f>
        <v/>
      </c>
      <c r="AL68" s="92" t="str">
        <f>IF(Inschrijving!I68="","",Inschrijving!F68)</f>
        <v/>
      </c>
      <c r="AM68"/>
      <c r="AN68" s="4" t="str">
        <f>AP66&amp;AO68</f>
        <v>I1</v>
      </c>
      <c r="AO68" s="94">
        <f>RANK(AZ68,$AZ$67:$AZ$70,1)</f>
        <v>1</v>
      </c>
      <c r="AP68" s="94" t="str">
        <f>Groepsloting!B51</f>
        <v>Frankrijk</v>
      </c>
      <c r="AQ68" s="95">
        <f>COUNTIF(AH$2:AH$98,AP68)+COUNTIF(AL$2:AL$98,AP68)</f>
        <v>0</v>
      </c>
      <c r="AR68" s="95">
        <f>AV68*3+AW68</f>
        <v>0</v>
      </c>
      <c r="AS68" s="95">
        <f t="shared" ref="AS68:AS70" si="88">SUMIF($D$68:$D$73,AP68,$G$68:$G$73)+SUMIF($F$68:$F$73,AP68,$I$68:$I$73)</f>
        <v>0</v>
      </c>
      <c r="AT68" s="95">
        <f t="shared" ref="AT68:AT70" si="89">SUMIF($D$68:$D$73,AP68,$I$68:$I$73)+SUMIF($F$68:$F$73,AP68,$G$68:$G$73)</f>
        <v>0</v>
      </c>
      <c r="AU68" s="95">
        <f>AS68-AT68</f>
        <v>0</v>
      </c>
      <c r="AV68" s="95">
        <f>SUMIF(AH$2:AH$98,AP68,AI$2:AI$98)+SUMIF(AL$2:AL$98,AP68,AJ$2:AJ$98)</f>
        <v>0</v>
      </c>
      <c r="AW68" s="95">
        <f>SUMIF(AH$2:AH$98,AP68,AK$2:AK$98)+SUMIF(AL$2:AL$98,AP68,AK$2:AK$98)</f>
        <v>0</v>
      </c>
      <c r="AX68" s="95">
        <f>AQ68-SUM(AV68:AW68)</f>
        <v>0</v>
      </c>
      <c r="AY68" s="95"/>
      <c r="AZ68" s="94">
        <f t="shared" ref="AZ68:AZ70" si="90">RANK(AR68,$AR$67:$AR$70)+RANK(AU68,$AU$67:$AU$70)/10+RANK(AS68,$AS$67:$AS$70,0)/100+RANK(AQ68,$AQ$67:$AQ$70,1)/500+VLOOKUP(AP68,$BF$3:$BG$50,2,0)/10000</f>
        <v>1.1121000000000001</v>
      </c>
      <c r="BA68" s="151"/>
      <c r="BB68"/>
      <c r="BC68" s="94"/>
      <c r="BD68" s="94"/>
      <c r="BE68" s="91" t="str">
        <f>Groepsloting!B67</f>
        <v>Groep L</v>
      </c>
      <c r="BF68" s="152"/>
      <c r="BG68" s="152"/>
      <c r="BH68"/>
    </row>
    <row r="69" spans="1:60" s="90" customFormat="1" ht="14.25" customHeight="1" x14ac:dyDescent="0.2">
      <c r="A69" s="127">
        <v>18</v>
      </c>
      <c r="B69" s="143" t="s">
        <v>483</v>
      </c>
      <c r="C69" s="142">
        <v>0</v>
      </c>
      <c r="D69" s="60" t="str">
        <f>Groepsloting!B50</f>
        <v>Irak</v>
      </c>
      <c r="E69" s="61" t="s">
        <v>5</v>
      </c>
      <c r="F69" s="60" t="str">
        <f>Groepsloting!B53</f>
        <v>Noorwegen</v>
      </c>
      <c r="G69" s="17"/>
      <c r="H69" s="79" t="s">
        <v>5</v>
      </c>
      <c r="I69" s="17"/>
      <c r="J69" s="19">
        <f t="shared" si="87"/>
        <v>0</v>
      </c>
      <c r="K69" s="68"/>
      <c r="L69" s="156"/>
      <c r="M69" s="166" t="str">
        <f>Groepsloting!$B$210</f>
        <v>Juiste team in halve finale, op welke plaats dan ook</v>
      </c>
      <c r="N69" s="166"/>
      <c r="O69" s="166">
        <v>20</v>
      </c>
      <c r="P69" s="166"/>
      <c r="Q69" s="166"/>
      <c r="R69" s="166"/>
      <c r="S69" s="166"/>
      <c r="T69" s="66"/>
      <c r="U69" s="66"/>
      <c r="V69" s="66"/>
      <c r="W69" s="69"/>
      <c r="X69" s="66"/>
      <c r="Y69" s="11">
        <v>1</v>
      </c>
      <c r="Z69" s="12" t="str">
        <f>VLOOKUP($Y69,$AO$91:$AX$94,AP$1,0)</f>
        <v>Engeland</v>
      </c>
      <c r="AA69" s="12">
        <f t="shared" ref="AA69:AE69" si="91">VLOOKUP($Y69,$AO$91:$AX$94,AQ$1,0)</f>
        <v>0</v>
      </c>
      <c r="AB69" s="12">
        <f t="shared" si="91"/>
        <v>0</v>
      </c>
      <c r="AC69" s="12">
        <f t="shared" si="91"/>
        <v>0</v>
      </c>
      <c r="AD69" s="12">
        <f t="shared" si="91"/>
        <v>0</v>
      </c>
      <c r="AE69" s="12">
        <f t="shared" si="91"/>
        <v>0</v>
      </c>
      <c r="AF69" s="4"/>
      <c r="AG69" s="92"/>
      <c r="AH69" s="92" t="str">
        <f>IF(Inschrijving!G69="","",Inschrijving!D69)</f>
        <v/>
      </c>
      <c r="AI69" s="92" t="str">
        <f>IF(Inschrijving!G69="","",IF(Inschrijving!G69&gt;Inschrijving!I69,1,0))</f>
        <v/>
      </c>
      <c r="AJ69" s="92" t="str">
        <f>IF(Inschrijving!G69="","",IF(Inschrijving!G69&lt;Inschrijving!I69,1,0))</f>
        <v/>
      </c>
      <c r="AK69" s="92" t="str">
        <f>IF(Inschrijving!G69="","",IF(Inschrijving!G69=Inschrijving!I69,1,0))</f>
        <v/>
      </c>
      <c r="AL69" s="92" t="str">
        <f>IF(Inschrijving!I69="","",Inschrijving!F69)</f>
        <v/>
      </c>
      <c r="AM69"/>
      <c r="AN69" s="4" t="str">
        <f>AP66&amp;AO69</f>
        <v>I2</v>
      </c>
      <c r="AO69" s="94">
        <f>RANK(AZ69,$AZ$67:$AZ$70,1)</f>
        <v>2</v>
      </c>
      <c r="AP69" s="94" t="str">
        <f>Groepsloting!B52</f>
        <v>Senegal</v>
      </c>
      <c r="AQ69" s="95">
        <f>COUNTIF(AH$2:AH$98,AP69)+COUNTIF(AL$2:AL$98,AP69)</f>
        <v>0</v>
      </c>
      <c r="AR69" s="95">
        <f>AV69*3+AW69</f>
        <v>0</v>
      </c>
      <c r="AS69" s="95">
        <f t="shared" si="88"/>
        <v>0</v>
      </c>
      <c r="AT69" s="95">
        <f t="shared" si="89"/>
        <v>0</v>
      </c>
      <c r="AU69" s="95">
        <f>AS69-AT69</f>
        <v>0</v>
      </c>
      <c r="AV69" s="95">
        <f>SUMIF(AH$2:AH$98,AP69,AI$2:AI$98)+SUMIF(AL$2:AL$98,AP69,AJ$2:AJ$98)</f>
        <v>0</v>
      </c>
      <c r="AW69" s="95">
        <f>SUMIF(AH$2:AH$98,AP69,AK$2:AK$98)+SUMIF(AL$2:AL$98,AP69,AK$2:AK$98)</f>
        <v>0</v>
      </c>
      <c r="AX69" s="95">
        <f>AQ69-SUM(AV69:AW69)</f>
        <v>0</v>
      </c>
      <c r="AY69" s="95"/>
      <c r="AZ69" s="94">
        <f t="shared" si="90"/>
        <v>1.1134000000000002</v>
      </c>
      <c r="BA69" s="151"/>
      <c r="BB69"/>
      <c r="BC69" s="94"/>
      <c r="BD69" s="94"/>
      <c r="BE69" t="str">
        <f>Groepsloting!B68</f>
        <v>Engeland</v>
      </c>
      <c r="BF69" s="152"/>
      <c r="BG69" s="152"/>
      <c r="BH69"/>
    </row>
    <row r="70" spans="1:60" s="90" customFormat="1" ht="14.25" customHeight="1" x14ac:dyDescent="0.2">
      <c r="A70" s="127">
        <v>42</v>
      </c>
      <c r="B70" s="143" t="s">
        <v>481</v>
      </c>
      <c r="C70" s="142">
        <v>0.95833333333333337</v>
      </c>
      <c r="D70" s="60" t="str">
        <f>D68</f>
        <v>Frankrijk</v>
      </c>
      <c r="E70" s="61" t="s">
        <v>5</v>
      </c>
      <c r="F70" s="60" t="str">
        <f>D69</f>
        <v>Irak</v>
      </c>
      <c r="G70" s="17"/>
      <c r="H70" s="79" t="s">
        <v>5</v>
      </c>
      <c r="I70" s="17"/>
      <c r="J70" s="19">
        <f t="shared" si="87"/>
        <v>0</v>
      </c>
      <c r="K70" s="68"/>
      <c r="L70" s="156"/>
      <c r="M70" s="166"/>
      <c r="N70" s="166"/>
      <c r="O70" s="166"/>
      <c r="P70" s="166"/>
      <c r="Q70" s="166"/>
      <c r="R70" s="166"/>
      <c r="S70" s="166"/>
      <c r="T70" s="66"/>
      <c r="U70" s="66"/>
      <c r="V70" s="66"/>
      <c r="W70" s="69"/>
      <c r="X70" s="66"/>
      <c r="Y70" s="11">
        <v>2</v>
      </c>
      <c r="Z70" s="12" t="str">
        <f t="shared" ref="Z70:Z72" si="92">VLOOKUP($Y70,$AO$91:$AX$94,AP$1,0)</f>
        <v>Kroatië</v>
      </c>
      <c r="AA70" s="12">
        <f t="shared" ref="AA70:AA72" si="93">VLOOKUP($Y70,$AO$91:$AX$94,AQ$1,0)</f>
        <v>0</v>
      </c>
      <c r="AB70" s="12">
        <f t="shared" ref="AB70:AB72" si="94">VLOOKUP($Y70,$AO$91:$AX$94,AR$1,0)</f>
        <v>0</v>
      </c>
      <c r="AC70" s="12">
        <f t="shared" ref="AC70:AC72" si="95">VLOOKUP($Y70,$AO$91:$AX$94,AS$1,0)</f>
        <v>0</v>
      </c>
      <c r="AD70" s="12">
        <f t="shared" ref="AD70:AD72" si="96">VLOOKUP($Y70,$AO$91:$AX$94,AT$1,0)</f>
        <v>0</v>
      </c>
      <c r="AE70" s="12">
        <f t="shared" ref="AE70:AE72" si="97">VLOOKUP($Y70,$AO$91:$AX$94,AU$1,0)</f>
        <v>0</v>
      </c>
      <c r="AF70" s="4"/>
      <c r="AG70" s="92"/>
      <c r="AH70" s="92" t="str">
        <f>IF(Inschrijving!G70="","",Inschrijving!D70)</f>
        <v/>
      </c>
      <c r="AI70" s="92" t="str">
        <f>IF(Inschrijving!G70="","",IF(Inschrijving!G70&gt;Inschrijving!I70,1,0))</f>
        <v/>
      </c>
      <c r="AJ70" s="92" t="str">
        <f>IF(Inschrijving!G70="","",IF(Inschrijving!G70&lt;Inschrijving!I70,1,0))</f>
        <v/>
      </c>
      <c r="AK70" s="92" t="str">
        <f>IF(Inschrijving!G70="","",IF(Inschrijving!G70=Inschrijving!I70,1,0))</f>
        <v/>
      </c>
      <c r="AL70" s="92" t="str">
        <f>IF(Inschrijving!I70="","",Inschrijving!F70)</f>
        <v/>
      </c>
      <c r="AM70"/>
      <c r="AN70" s="4" t="str">
        <f>AP66&amp;AO70</f>
        <v>I3</v>
      </c>
      <c r="AO70" s="94">
        <f>RANK(AZ70,$AZ$67:$AZ$70,1)</f>
        <v>3</v>
      </c>
      <c r="AP70" s="94" t="str">
        <f>Groepsloting!B53</f>
        <v>Noorwegen</v>
      </c>
      <c r="AQ70" s="95">
        <f>COUNTIF(AH$2:AH$98,AP70)+COUNTIF(AL$2:AL$98,AP70)</f>
        <v>0</v>
      </c>
      <c r="AR70" s="95">
        <f>AV70*3+AW70</f>
        <v>0</v>
      </c>
      <c r="AS70" s="95">
        <f t="shared" si="88"/>
        <v>0</v>
      </c>
      <c r="AT70" s="95">
        <f t="shared" si="89"/>
        <v>0</v>
      </c>
      <c r="AU70" s="95">
        <f>AS70-AT70</f>
        <v>0</v>
      </c>
      <c r="AV70" s="95">
        <f>SUMIF(AH$2:AH$98,AP70,AI$2:AI$98)+SUMIF(AL$2:AL$98,AP70,AJ$2:AJ$98)</f>
        <v>0</v>
      </c>
      <c r="AW70" s="95">
        <f>SUMIF(AH$2:AH$98,AP70,AK$2:AK$98)+SUMIF(AL$2:AL$98,AP70,AK$2:AK$98)</f>
        <v>0</v>
      </c>
      <c r="AX70" s="95">
        <f>AQ70-SUM(AV70:AW70)</f>
        <v>0</v>
      </c>
      <c r="AY70" s="95"/>
      <c r="AZ70" s="94">
        <f t="shared" si="90"/>
        <v>1.1151000000000002</v>
      </c>
      <c r="BA70" s="151"/>
      <c r="BB70"/>
      <c r="BC70" s="94"/>
      <c r="BD70" s="94"/>
      <c r="BE70" t="str">
        <f>Groepsloting!B69</f>
        <v>Kroatië</v>
      </c>
      <c r="BF70" s="152"/>
      <c r="BG70" s="215"/>
      <c r="BH70"/>
    </row>
    <row r="71" spans="1:60" s="90" customFormat="1" ht="14.25" customHeight="1" x14ac:dyDescent="0.2">
      <c r="A71" s="127">
        <v>41</v>
      </c>
      <c r="B71" s="143" t="s">
        <v>484</v>
      </c>
      <c r="C71" s="142">
        <v>8.3333333333333329E-2</v>
      </c>
      <c r="D71" s="60" t="str">
        <f>F69</f>
        <v>Noorwegen</v>
      </c>
      <c r="E71" s="61" t="s">
        <v>5</v>
      </c>
      <c r="F71" s="60" t="str">
        <f>F68</f>
        <v>Senegal</v>
      </c>
      <c r="G71" s="17"/>
      <c r="H71" s="79" t="s">
        <v>5</v>
      </c>
      <c r="I71" s="17"/>
      <c r="J71" s="19">
        <f t="shared" si="87"/>
        <v>0</v>
      </c>
      <c r="K71" s="68"/>
      <c r="L71" s="157"/>
      <c r="M71" s="166" t="str">
        <f>Groepsloting!$B$211</f>
        <v>Winnaar troostfinale</v>
      </c>
      <c r="N71" s="166"/>
      <c r="O71" s="166">
        <v>15</v>
      </c>
      <c r="P71" s="166"/>
      <c r="Q71" s="166"/>
      <c r="R71" s="166"/>
      <c r="S71" s="166"/>
      <c r="T71" s="66"/>
      <c r="U71" s="66"/>
      <c r="V71" s="66"/>
      <c r="W71" s="69"/>
      <c r="X71" s="66"/>
      <c r="Y71" s="11">
        <v>3</v>
      </c>
      <c r="Z71" s="12" t="str">
        <f t="shared" si="92"/>
        <v>Panama</v>
      </c>
      <c r="AA71" s="12">
        <f t="shared" si="93"/>
        <v>0</v>
      </c>
      <c r="AB71" s="12">
        <f t="shared" si="94"/>
        <v>0</v>
      </c>
      <c r="AC71" s="12">
        <f t="shared" si="95"/>
        <v>0</v>
      </c>
      <c r="AD71" s="12">
        <f t="shared" si="96"/>
        <v>0</v>
      </c>
      <c r="AE71" s="12">
        <f t="shared" si="97"/>
        <v>0</v>
      </c>
      <c r="AF71" s="4"/>
      <c r="AG71" s="92"/>
      <c r="AH71" s="92" t="str">
        <f>IF(Inschrijving!G71="","",Inschrijving!D71)</f>
        <v/>
      </c>
      <c r="AI71" s="92" t="str">
        <f>IF(Inschrijving!G71="","",IF(Inschrijving!G71&gt;Inschrijving!I71,1,0))</f>
        <v/>
      </c>
      <c r="AJ71" s="92" t="str">
        <f>IF(Inschrijving!G71="","",IF(Inschrijving!G71&lt;Inschrijving!I71,1,0))</f>
        <v/>
      </c>
      <c r="AK71" s="92" t="str">
        <f>IF(Inschrijving!G71="","",IF(Inschrijving!G71=Inschrijving!I71,1,0))</f>
        <v/>
      </c>
      <c r="AL71" s="92" t="str">
        <f>IF(Inschrijving!I71="","",Inschrijving!F71)</f>
        <v/>
      </c>
      <c r="AM71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/>
      <c r="BB71"/>
      <c r="BC71"/>
      <c r="BD71" s="4"/>
      <c r="BE71" t="str">
        <f>Groepsloting!B70</f>
        <v>Ghana</v>
      </c>
      <c r="BF71" s="215"/>
      <c r="BG71" s="152"/>
      <c r="BH71"/>
    </row>
    <row r="72" spans="1:60" s="90" customFormat="1" ht="14.25" customHeight="1" x14ac:dyDescent="0.2">
      <c r="A72" s="127">
        <v>61</v>
      </c>
      <c r="B72" s="143" t="s">
        <v>475</v>
      </c>
      <c r="C72" s="142">
        <v>0.875</v>
      </c>
      <c r="D72" s="60" t="str">
        <f>F69</f>
        <v>Noorwegen</v>
      </c>
      <c r="E72" s="61" t="s">
        <v>5</v>
      </c>
      <c r="F72" s="60" t="str">
        <f>D68</f>
        <v>Frankrijk</v>
      </c>
      <c r="G72" s="17"/>
      <c r="H72" s="79" t="s">
        <v>5</v>
      </c>
      <c r="I72" s="17"/>
      <c r="J72" s="19">
        <f t="shared" si="87"/>
        <v>0</v>
      </c>
      <c r="K72" s="68"/>
      <c r="L72" s="156"/>
      <c r="M72" s="166"/>
      <c r="N72" s="166"/>
      <c r="O72" s="166"/>
      <c r="P72" s="166"/>
      <c r="Q72" s="166"/>
      <c r="R72" s="166"/>
      <c r="S72" s="166"/>
      <c r="T72" s="66"/>
      <c r="U72" s="66"/>
      <c r="V72" s="66"/>
      <c r="W72" s="69"/>
      <c r="X72" s="66"/>
      <c r="Y72" s="11">
        <v>4</v>
      </c>
      <c r="Z72" s="12" t="str">
        <f t="shared" si="92"/>
        <v>Ghana</v>
      </c>
      <c r="AA72" s="12">
        <f t="shared" si="93"/>
        <v>0</v>
      </c>
      <c r="AB72" s="12">
        <f t="shared" si="94"/>
        <v>0</v>
      </c>
      <c r="AC72" s="12">
        <f t="shared" si="95"/>
        <v>0</v>
      </c>
      <c r="AD72" s="12">
        <f t="shared" si="96"/>
        <v>0</v>
      </c>
      <c r="AE72" s="12">
        <f t="shared" si="97"/>
        <v>0</v>
      </c>
      <c r="AF72" s="4"/>
      <c r="AG72" s="92"/>
      <c r="AH72" s="92" t="str">
        <f>IF(Inschrijving!G72="","",Inschrijving!D72)</f>
        <v/>
      </c>
      <c r="AI72" s="92" t="str">
        <f>IF(Inschrijving!G72="","",IF(Inschrijving!G72&gt;Inschrijving!I72,1,0))</f>
        <v/>
      </c>
      <c r="AJ72" s="92" t="str">
        <f>IF(Inschrijving!G72="","",IF(Inschrijving!G72&lt;Inschrijving!I72,1,0))</f>
        <v/>
      </c>
      <c r="AK72" s="92" t="str">
        <f>IF(Inschrijving!G72="","",IF(Inschrijving!G72=Inschrijving!I72,1,0))</f>
        <v/>
      </c>
      <c r="AL72" s="92" t="str">
        <f>IF(Inschrijving!I72="","",Inschrijving!F72)</f>
        <v/>
      </c>
      <c r="AM72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/>
      <c r="BB72"/>
      <c r="BC72"/>
      <c r="BD72" s="4"/>
      <c r="BE72" t="str">
        <f>Groepsloting!B71</f>
        <v>Panama</v>
      </c>
      <c r="BF72" s="152"/>
      <c r="BG72" s="152"/>
      <c r="BH72"/>
    </row>
    <row r="73" spans="1:60" s="90" customFormat="1" ht="14.25" customHeight="1" x14ac:dyDescent="0.2">
      <c r="A73" s="127">
        <v>62</v>
      </c>
      <c r="B73" s="143" t="s">
        <v>475</v>
      </c>
      <c r="C73" s="142">
        <v>0.875</v>
      </c>
      <c r="D73" s="60" t="str">
        <f>F68</f>
        <v>Senegal</v>
      </c>
      <c r="E73" s="61" t="s">
        <v>5</v>
      </c>
      <c r="F73" s="60" t="str">
        <f>D69</f>
        <v>Irak</v>
      </c>
      <c r="G73" s="17"/>
      <c r="H73" s="79" t="s">
        <v>5</v>
      </c>
      <c r="I73" s="17"/>
      <c r="J73" s="19">
        <f t="shared" si="87"/>
        <v>0</v>
      </c>
      <c r="K73" s="68"/>
      <c r="L73" s="156"/>
      <c r="M73" s="166" t="str">
        <f>Groepsloting!$B$212</f>
        <v>Juiste team in finale, op welke plaats dan ook</v>
      </c>
      <c r="N73" s="166"/>
      <c r="O73" s="166">
        <v>20</v>
      </c>
      <c r="P73" s="166"/>
      <c r="Q73" s="166"/>
      <c r="R73" s="166"/>
      <c r="S73" s="166"/>
      <c r="T73" s="66"/>
      <c r="U73" s="66"/>
      <c r="V73" s="66"/>
      <c r="W73" s="69"/>
      <c r="X73" s="66"/>
      <c r="Y73" s="4"/>
      <c r="Z73" s="4"/>
      <c r="AA73" s="4"/>
      <c r="AB73" s="4"/>
      <c r="AC73" s="4"/>
      <c r="AD73" s="4"/>
      <c r="AE73" s="4"/>
      <c r="AF73" s="4"/>
      <c r="AG73" s="92"/>
      <c r="AH73" s="92" t="str">
        <f>IF(Inschrijving!G73="","",Inschrijving!D73)</f>
        <v/>
      </c>
      <c r="AI73" s="92" t="str">
        <f>IF(Inschrijving!G73="","",IF(Inschrijving!G73&gt;Inschrijving!I73,1,0))</f>
        <v/>
      </c>
      <c r="AJ73" s="92" t="str">
        <f>IF(Inschrijving!G73="","",IF(Inschrijving!G73&lt;Inschrijving!I73,1,0))</f>
        <v/>
      </c>
      <c r="AK73" s="92" t="str">
        <f>IF(Inschrijving!G73="","",IF(Inschrijving!G73=Inschrijving!I73,1,0))</f>
        <v/>
      </c>
      <c r="AL73" s="92" t="str">
        <f>IF(Inschrijving!I73="","",Inschrijving!F73)</f>
        <v/>
      </c>
      <c r="AM73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/>
      <c r="BB73"/>
      <c r="BC73"/>
      <c r="BD73" s="4"/>
      <c r="BE73"/>
      <c r="BF73" s="152"/>
      <c r="BG73" s="152"/>
      <c r="BH73"/>
    </row>
    <row r="74" spans="1:60" s="90" customFormat="1" ht="14.25" customHeight="1" x14ac:dyDescent="0.2">
      <c r="A74" s="127"/>
      <c r="B74" s="178"/>
      <c r="C74" s="179"/>
      <c r="D74" s="183"/>
      <c r="E74" s="184"/>
      <c r="F74" s="183"/>
      <c r="G74" s="180"/>
      <c r="H74" s="181"/>
      <c r="I74" s="180"/>
      <c r="J74" s="182"/>
      <c r="K74" s="68"/>
      <c r="L74" s="156"/>
      <c r="M74" s="166"/>
      <c r="N74" s="166"/>
      <c r="O74" s="166"/>
      <c r="P74" s="166"/>
      <c r="Q74" s="166"/>
      <c r="R74" s="166"/>
      <c r="S74" s="166"/>
      <c r="T74" s="66"/>
      <c r="U74" s="66"/>
      <c r="V74" s="66"/>
      <c r="W74" s="69"/>
      <c r="X74" s="66"/>
      <c r="Y74" s="4"/>
      <c r="Z74" s="4"/>
      <c r="AA74" s="4"/>
      <c r="AB74" s="4"/>
      <c r="AC74" s="4"/>
      <c r="AD74" s="4"/>
      <c r="AE74" s="4"/>
      <c r="AF74" s="4"/>
      <c r="AG74" s="92"/>
      <c r="AH74" s="92"/>
      <c r="AI74" s="92"/>
      <c r="AJ74" s="92"/>
      <c r="AK74" s="92"/>
      <c r="AL74" s="92"/>
      <c r="AM74"/>
      <c r="AN74" s="4"/>
      <c r="AO74" s="94"/>
      <c r="AP74" s="94" t="s">
        <v>465</v>
      </c>
      <c r="AQ74" s="95" t="s">
        <v>61</v>
      </c>
      <c r="AR74" s="95" t="s">
        <v>68</v>
      </c>
      <c r="AS74" s="95" t="s">
        <v>65</v>
      </c>
      <c r="AT74" s="95" t="s">
        <v>66</v>
      </c>
      <c r="AU74" s="95" t="s">
        <v>67</v>
      </c>
      <c r="AV74" s="95" t="s">
        <v>62</v>
      </c>
      <c r="AW74" s="95" t="s">
        <v>63</v>
      </c>
      <c r="AX74" s="95" t="s">
        <v>64</v>
      </c>
      <c r="AY74" s="95"/>
      <c r="AZ74" s="94"/>
      <c r="BA74"/>
      <c r="BB74"/>
      <c r="BC74"/>
      <c r="BD74" s="94"/>
      <c r="BE74" s="216" t="s">
        <v>684</v>
      </c>
      <c r="BF74" s="41" t="s">
        <v>686</v>
      </c>
      <c r="BG74" s="152"/>
      <c r="BH74"/>
    </row>
    <row r="75" spans="1:60" s="90" customFormat="1" ht="14.25" customHeight="1" x14ac:dyDescent="0.2">
      <c r="A75" s="127"/>
      <c r="B75" s="62" t="str">
        <f>Groepsloting!$B$55</f>
        <v>Groep J</v>
      </c>
      <c r="C75" s="131"/>
      <c r="D75" s="58" t="str">
        <f>Groepsloting!$B$119</f>
        <v>Wedstrijd</v>
      </c>
      <c r="E75" s="59"/>
      <c r="F75" s="58"/>
      <c r="G75" s="58"/>
      <c r="H75" s="192" t="str">
        <f>Groepsloting!$B$120</f>
        <v>Uitslag</v>
      </c>
      <c r="I75" s="58"/>
      <c r="J75" s="64" t="str">
        <f>Groepsloting!$B$121</f>
        <v>Toto</v>
      </c>
      <c r="K75" s="68"/>
      <c r="L75" s="156"/>
      <c r="M75" s="166" t="str">
        <f>Groepsloting!$B$213</f>
        <v>Wereldkampioen</v>
      </c>
      <c r="N75" s="166"/>
      <c r="O75" s="166">
        <v>25</v>
      </c>
      <c r="P75" s="166"/>
      <c r="Q75" s="166"/>
      <c r="R75" s="166"/>
      <c r="S75" s="166"/>
      <c r="T75" s="66"/>
      <c r="U75" s="66"/>
      <c r="V75" s="66"/>
      <c r="W75" s="69"/>
      <c r="X75" s="66"/>
      <c r="Y75" s="4"/>
      <c r="Z75" s="4"/>
      <c r="AA75" s="4"/>
      <c r="AB75" s="4"/>
      <c r="AC75" s="4"/>
      <c r="AD75" s="4"/>
      <c r="AE75" s="4"/>
      <c r="AF75" s="4"/>
      <c r="AG75" s="92" t="s">
        <v>465</v>
      </c>
      <c r="AH75" s="93" t="s">
        <v>57</v>
      </c>
      <c r="AI75" s="93"/>
      <c r="AJ75" s="93"/>
      <c r="AK75" s="93"/>
      <c r="AL75" s="93" t="s">
        <v>59</v>
      </c>
      <c r="AM75"/>
      <c r="AN75" s="4" t="str">
        <f>AP74&amp;AO75</f>
        <v>J1</v>
      </c>
      <c r="AO75" s="94">
        <f>RANK(AZ75,$AZ$75:$AZ$78,1)</f>
        <v>1</v>
      </c>
      <c r="AP75" s="94" t="str">
        <f>Groepsloting!B56</f>
        <v>Argentinië</v>
      </c>
      <c r="AQ75" s="95">
        <f>COUNTIF(AH$2:AH$98,AP75)+COUNTIF(AL$2:AL$98,AP75)</f>
        <v>0</v>
      </c>
      <c r="AR75" s="95">
        <f>AV75*3+AW75</f>
        <v>0</v>
      </c>
      <c r="AS75" s="95">
        <f>SUMIF($D$76:$D$81,AP75,$G$76:$G$81)+SUMIF($F$76:$F$81,AP75,$I$76:$I$81)</f>
        <v>0</v>
      </c>
      <c r="AT75" s="95">
        <f>SUMIF($D$76:$D$81,AP75,$I$76:$I$81)+SUMIF($F$76:$F$81,AP75,$G$76:$G$81)</f>
        <v>0</v>
      </c>
      <c r="AU75" s="95">
        <f>AS75-AT75</f>
        <v>0</v>
      </c>
      <c r="AV75" s="95">
        <f>SUMIF(AH$2:AH$98,AP75,AI$2:AI$98)+SUMIF(AL$2:AL$98,AP75,AJ$2:AJ$98)</f>
        <v>0</v>
      </c>
      <c r="AW75" s="95">
        <f>SUMIF(AH$2:AH$98,AP75,AK$2:AK$98)+SUMIF(AL$2:AL$98,AP75,AK$2:AK$98)</f>
        <v>0</v>
      </c>
      <c r="AX75" s="95">
        <f>AQ75-SUM(AV75:AW75)</f>
        <v>0</v>
      </c>
      <c r="AY75" s="95"/>
      <c r="AZ75" s="94">
        <f>RANK(AR75,$AR$75:$AR$78)+RANK(AU75,$AU$75:$AU$78)/10+RANK(AS75,$AS$75:$AS$78,0)/100+RANK(AQ75,$AQ$75:$AQ$78,1)/500+VLOOKUP(AP75,$BF$3:$BG$50,2,0)/10000</f>
        <v>1.1123000000000001</v>
      </c>
      <c r="BA75" s="151"/>
      <c r="BB75"/>
      <c r="BC75" s="94"/>
      <c r="BD75" s="94"/>
      <c r="BE75" s="91" t="s">
        <v>376</v>
      </c>
      <c r="BF75" s="212" t="s">
        <v>685</v>
      </c>
      <c r="BG75" s="152"/>
      <c r="BH75"/>
    </row>
    <row r="76" spans="1:60" s="90" customFormat="1" ht="14.25" customHeight="1" x14ac:dyDescent="0.2">
      <c r="A76" s="127">
        <v>19</v>
      </c>
      <c r="B76" s="143" t="s">
        <v>483</v>
      </c>
      <c r="C76" s="142">
        <v>0.125</v>
      </c>
      <c r="D76" s="60" t="str">
        <f>Groepsloting!B56</f>
        <v>Argentinië</v>
      </c>
      <c r="E76" s="61" t="s">
        <v>5</v>
      </c>
      <c r="F76" s="60" t="str">
        <f>Groepsloting!B57</f>
        <v>Algerije</v>
      </c>
      <c r="G76" s="17"/>
      <c r="H76" s="79" t="s">
        <v>5</v>
      </c>
      <c r="I76" s="17"/>
      <c r="J76" s="19">
        <f t="shared" ref="J76:J81" si="98">IF(AND(G76="",I76=""),0,IF(G76&gt;I76,1,IF(G76&lt;I76,2,3)))</f>
        <v>0</v>
      </c>
      <c r="K76" s="68"/>
      <c r="L76" s="156"/>
      <c r="M76" s="166"/>
      <c r="N76" s="166"/>
      <c r="O76" s="166"/>
      <c r="P76" s="166"/>
      <c r="Q76" s="166"/>
      <c r="R76" s="166"/>
      <c r="S76" s="166"/>
      <c r="T76" s="66"/>
      <c r="U76" s="66"/>
      <c r="V76" s="66"/>
      <c r="W76" s="69"/>
      <c r="X76" s="66"/>
      <c r="Y76" s="4"/>
      <c r="Z76" s="4"/>
      <c r="AA76" s="4"/>
      <c r="AB76" s="4"/>
      <c r="AC76" s="4"/>
      <c r="AD76" s="4"/>
      <c r="AE76" s="4"/>
      <c r="AF76" s="4"/>
      <c r="AG76" s="92"/>
      <c r="AH76" s="92" t="str">
        <f>IF(Inschrijving!G76="","",Inschrijving!D76)</f>
        <v/>
      </c>
      <c r="AI76" s="92" t="str">
        <f>IF(Inschrijving!G76="","",IF(Inschrijving!G76&gt;Inschrijving!I76,1,0))</f>
        <v/>
      </c>
      <c r="AJ76" s="92" t="str">
        <f>IF(Inschrijving!G76="","",IF(Inschrijving!G76&lt;Inschrijving!I76,1,0))</f>
        <v/>
      </c>
      <c r="AK76" s="92" t="str">
        <f>IF(Inschrijving!G76="","",IF(Inschrijving!G76=Inschrijving!I76,1,0))</f>
        <v/>
      </c>
      <c r="AL76" s="92" t="str">
        <f>IF(Inschrijving!I76="","",Inschrijving!F76)</f>
        <v/>
      </c>
      <c r="AM76"/>
      <c r="AN76" s="4" t="str">
        <f>AP74&amp;AO76</f>
        <v>J3</v>
      </c>
      <c r="AO76" s="94">
        <f>RANK(AZ76,$AZ$75:$AZ$78,1)</f>
        <v>3</v>
      </c>
      <c r="AP76" s="94" t="str">
        <f>Groepsloting!B57</f>
        <v>Algerije</v>
      </c>
      <c r="AQ76" s="95">
        <f>COUNTIF(AH$2:AH$98,AP76)+COUNTIF(AL$2:AL$98,AP76)</f>
        <v>0</v>
      </c>
      <c r="AR76" s="95">
        <f>AV76*3+AW76</f>
        <v>0</v>
      </c>
      <c r="AS76" s="95">
        <f t="shared" ref="AS76:AS78" si="99">SUMIF($D$76:$D$81,AP76,$G$76:$G$81)+SUMIF($F$76:$F$81,AP76,$I$76:$I$81)</f>
        <v>0</v>
      </c>
      <c r="AT76" s="95">
        <f t="shared" ref="AT76:AT78" si="100">SUMIF($D$76:$D$81,AP76,$I$76:$I$81)+SUMIF($F$76:$F$81,AP76,$G$76:$G$81)</f>
        <v>0</v>
      </c>
      <c r="AU76" s="95">
        <f>AS76-AT76</f>
        <v>0</v>
      </c>
      <c r="AV76" s="95">
        <f>SUMIF(AH$2:AH$98,AP76,AI$2:AI$98)+SUMIF(AL$2:AL$98,AP76,AJ$2:AJ$98)</f>
        <v>0</v>
      </c>
      <c r="AW76" s="95">
        <f>SUMIF(AH$2:AH$98,AP76,AK$2:AK$98)+SUMIF(AL$2:AL$98,AP76,AK$2:AK$98)</f>
        <v>0</v>
      </c>
      <c r="AX76" s="95">
        <f>AQ76-SUM(AV76:AW76)</f>
        <v>0</v>
      </c>
      <c r="AY76" s="95"/>
      <c r="AZ76" s="94">
        <f t="shared" ref="AZ76:AZ78" si="101">RANK(AR76,$AR$75:$AR$78)+RANK(AU76,$AU$75:$AU$78)/10+RANK(AS76,$AS$75:$AS$78,0)/100+RANK(AQ76,$AQ$75:$AQ$78,1)/500+VLOOKUP(AP76,$BF$3:$BG$50,2,0)/10000</f>
        <v>1.1148</v>
      </c>
      <c r="BA76" s="151"/>
      <c r="BB76"/>
      <c r="BC76" s="94"/>
      <c r="BD76" s="94"/>
      <c r="BE76" t="str">
        <f>BE3</f>
        <v>Mexico</v>
      </c>
      <c r="BF76" s="152" t="str">
        <f t="shared" ref="BF76:BF79" si="102">BE3</f>
        <v>Mexico</v>
      </c>
      <c r="BG76" s="152"/>
      <c r="BH76"/>
    </row>
    <row r="77" spans="1:60" s="90" customFormat="1" ht="14.25" customHeight="1" x14ac:dyDescent="0.2">
      <c r="A77" s="127">
        <v>20</v>
      </c>
      <c r="B77" s="143" t="s">
        <v>483</v>
      </c>
      <c r="C77" s="142">
        <v>0.25</v>
      </c>
      <c r="D77" s="60" t="str">
        <f>Groepsloting!B58</f>
        <v>Oostenrijk</v>
      </c>
      <c r="E77" s="61" t="s">
        <v>5</v>
      </c>
      <c r="F77" s="60" t="str">
        <f>Groepsloting!B59</f>
        <v>Jordanië</v>
      </c>
      <c r="G77" s="17"/>
      <c r="H77" s="79" t="s">
        <v>5</v>
      </c>
      <c r="I77" s="17"/>
      <c r="J77" s="19">
        <f t="shared" si="98"/>
        <v>0</v>
      </c>
      <c r="K77" s="68"/>
      <c r="L77" s="156"/>
      <c r="M77" s="166" t="str">
        <f>Groepsloting!$B$214</f>
        <v>Inleg per team</v>
      </c>
      <c r="N77" s="167"/>
      <c r="O77" s="168" t="s">
        <v>381</v>
      </c>
      <c r="P77" s="166"/>
      <c r="Q77" s="166"/>
      <c r="R77" s="166"/>
      <c r="S77" s="166"/>
      <c r="T77" s="66"/>
      <c r="U77" s="66"/>
      <c r="V77" s="66"/>
      <c r="W77" s="69"/>
      <c r="X77" s="66"/>
      <c r="Y77" s="4"/>
      <c r="Z77" s="4"/>
      <c r="AA77" s="4"/>
      <c r="AB77" s="4"/>
      <c r="AC77" s="4"/>
      <c r="AD77" s="4"/>
      <c r="AE77" s="4"/>
      <c r="AF77" s="4"/>
      <c r="AG77" s="92"/>
      <c r="AH77" s="92" t="str">
        <f>IF(Inschrijving!G77="","",Inschrijving!D77)</f>
        <v/>
      </c>
      <c r="AI77" s="92" t="str">
        <f>IF(Inschrijving!G77="","",IF(Inschrijving!G77&gt;Inschrijving!I77,1,0))</f>
        <v/>
      </c>
      <c r="AJ77" s="92" t="str">
        <f>IF(Inschrijving!G77="","",IF(Inschrijving!G77&lt;Inschrijving!I77,1,0))</f>
        <v/>
      </c>
      <c r="AK77" s="92" t="str">
        <f>IF(Inschrijving!G77="","",IF(Inschrijving!G77=Inschrijving!I77,1,0))</f>
        <v/>
      </c>
      <c r="AL77" s="92" t="str">
        <f>IF(Inschrijving!I77="","",Inschrijving!F77)</f>
        <v/>
      </c>
      <c r="AM77"/>
      <c r="AN77" s="4" t="str">
        <f>AP74&amp;AO77</f>
        <v>J2</v>
      </c>
      <c r="AO77" s="94">
        <f>RANK(AZ77,$AZ$75:$AZ$78,1)</f>
        <v>2</v>
      </c>
      <c r="AP77" s="94" t="str">
        <f>Groepsloting!B58</f>
        <v>Oostenrijk</v>
      </c>
      <c r="AQ77" s="95">
        <f>COUNTIF(AH$2:AH$98,AP77)+COUNTIF(AL$2:AL$98,AP77)</f>
        <v>0</v>
      </c>
      <c r="AR77" s="95">
        <f>AV77*3+AW77</f>
        <v>0</v>
      </c>
      <c r="AS77" s="95">
        <f t="shared" si="99"/>
        <v>0</v>
      </c>
      <c r="AT77" s="95">
        <f t="shared" si="100"/>
        <v>0</v>
      </c>
      <c r="AU77" s="95">
        <f>AS77-AT77</f>
        <v>0</v>
      </c>
      <c r="AV77" s="95">
        <f>SUMIF(AH$2:AH$98,AP77,AI$2:AI$98)+SUMIF(AL$2:AL$98,AP77,AJ$2:AJ$98)</f>
        <v>0</v>
      </c>
      <c r="AW77" s="95">
        <f>SUMIF(AH$2:AH$98,AP77,AK$2:AK$98)+SUMIF(AL$2:AL$98,AP77,AK$2:AK$98)</f>
        <v>0</v>
      </c>
      <c r="AX77" s="95">
        <f>AQ77-SUM(AV77:AW77)</f>
        <v>0</v>
      </c>
      <c r="AY77" s="95"/>
      <c r="AZ77" s="94">
        <f t="shared" si="101"/>
        <v>1.1144000000000001</v>
      </c>
      <c r="BA77" s="151"/>
      <c r="BB77"/>
      <c r="BC77" s="94"/>
      <c r="BD77" s="94"/>
      <c r="BE77" t="str">
        <f>BE4</f>
        <v>Zuid-Afrika</v>
      </c>
      <c r="BF77" s="152" t="str">
        <f t="shared" si="102"/>
        <v>Zuid-Afrika</v>
      </c>
      <c r="BG77" s="152"/>
      <c r="BH77"/>
    </row>
    <row r="78" spans="1:60" s="90" customFormat="1" ht="14.25" customHeight="1" x14ac:dyDescent="0.2">
      <c r="A78" s="127">
        <v>43</v>
      </c>
      <c r="B78" s="143" t="s">
        <v>481</v>
      </c>
      <c r="C78" s="142">
        <v>0.79166666666666663</v>
      </c>
      <c r="D78" s="60" t="str">
        <f>D76</f>
        <v>Argentinië</v>
      </c>
      <c r="E78" s="61" t="s">
        <v>5</v>
      </c>
      <c r="F78" s="60" t="str">
        <f>D77</f>
        <v>Oostenrijk</v>
      </c>
      <c r="G78" s="17"/>
      <c r="H78" s="79" t="s">
        <v>5</v>
      </c>
      <c r="I78" s="17"/>
      <c r="J78" s="19">
        <f t="shared" si="98"/>
        <v>0</v>
      </c>
      <c r="K78" s="68"/>
      <c r="L78" s="156"/>
      <c r="M78" s="66"/>
      <c r="N78" s="66"/>
      <c r="O78" s="66"/>
      <c r="P78" s="66"/>
      <c r="Q78" s="66"/>
      <c r="R78" s="66"/>
      <c r="S78" s="66"/>
      <c r="T78" s="66"/>
      <c r="U78" s="66"/>
      <c r="V78" s="66"/>
      <c r="W78" s="69"/>
      <c r="X78" s="66"/>
      <c r="Y78" s="4"/>
      <c r="Z78" s="4"/>
      <c r="AA78" s="4"/>
      <c r="AB78" s="4"/>
      <c r="AC78" s="4"/>
      <c r="AD78" s="4"/>
      <c r="AE78" s="4"/>
      <c r="AF78" s="4"/>
      <c r="AG78" s="92"/>
      <c r="AH78" s="92" t="str">
        <f>IF(Inschrijving!G78="","",Inschrijving!D78)</f>
        <v/>
      </c>
      <c r="AI78" s="92" t="str">
        <f>IF(Inschrijving!G78="","",IF(Inschrijving!G78&gt;Inschrijving!I78,1,0))</f>
        <v/>
      </c>
      <c r="AJ78" s="92" t="str">
        <f>IF(Inschrijving!G78="","",IF(Inschrijving!G78&lt;Inschrijving!I78,1,0))</f>
        <v/>
      </c>
      <c r="AK78" s="92" t="str">
        <f>IF(Inschrijving!G78="","",IF(Inschrijving!G78=Inschrijving!I78,1,0))</f>
        <v/>
      </c>
      <c r="AL78" s="92" t="str">
        <f>IF(Inschrijving!I78="","",Inschrijving!F78)</f>
        <v/>
      </c>
      <c r="AM78"/>
      <c r="AN78" s="4" t="str">
        <f>AP74&amp;AO78</f>
        <v>J4</v>
      </c>
      <c r="AO78" s="94">
        <f>RANK(AZ78,$AZ$75:$AZ$78,1)</f>
        <v>4</v>
      </c>
      <c r="AP78" s="94" t="str">
        <f>Groepsloting!B59</f>
        <v>Jordanië</v>
      </c>
      <c r="AQ78" s="95">
        <f>COUNTIF(AH$2:AH$98,AP78)+COUNTIF(AL$2:AL$98,AP78)</f>
        <v>0</v>
      </c>
      <c r="AR78" s="95">
        <f>AV78*3+AW78</f>
        <v>0</v>
      </c>
      <c r="AS78" s="95">
        <f t="shared" si="99"/>
        <v>0</v>
      </c>
      <c r="AT78" s="95">
        <f t="shared" si="100"/>
        <v>0</v>
      </c>
      <c r="AU78" s="95">
        <f>AS78-AT78</f>
        <v>0</v>
      </c>
      <c r="AV78" s="95">
        <f>SUMIF(AH$2:AH$98,AP78,AI$2:AI$98)+SUMIF(AL$2:AL$98,AP78,AJ$2:AJ$98)</f>
        <v>0</v>
      </c>
      <c r="AW78" s="95">
        <f>SUMIF(AH$2:AH$98,AP78,AK$2:AK$98)+SUMIF(AL$2:AL$98,AP78,AK$2:AK$98)</f>
        <v>0</v>
      </c>
      <c r="AX78" s="95">
        <f>AQ78-SUM(AV78:AW78)</f>
        <v>0</v>
      </c>
      <c r="AY78" s="95"/>
      <c r="AZ78" s="94">
        <f t="shared" si="101"/>
        <v>1.1183000000000001</v>
      </c>
      <c r="BA78" s="151"/>
      <c r="BB78"/>
      <c r="BC78" s="94"/>
      <c r="BD78" s="94"/>
      <c r="BE78" t="str">
        <f>BE5</f>
        <v>Zuid-Korea</v>
      </c>
      <c r="BF78" s="152" t="str">
        <f t="shared" si="102"/>
        <v>Zuid-Korea</v>
      </c>
      <c r="BG78" s="152"/>
      <c r="BH78"/>
    </row>
    <row r="79" spans="1:60" s="90" customFormat="1" ht="14.25" customHeight="1" x14ac:dyDescent="0.25">
      <c r="A79" s="127">
        <v>44</v>
      </c>
      <c r="B79" s="143" t="s">
        <v>484</v>
      </c>
      <c r="C79" s="142">
        <v>0.20833333333333334</v>
      </c>
      <c r="D79" s="60" t="str">
        <f>F77</f>
        <v>Jordanië</v>
      </c>
      <c r="E79" s="61" t="s">
        <v>5</v>
      </c>
      <c r="F79" s="60" t="str">
        <f>F76</f>
        <v>Algerije</v>
      </c>
      <c r="G79" s="17"/>
      <c r="H79" s="79" t="s">
        <v>5</v>
      </c>
      <c r="I79" s="17"/>
      <c r="J79" s="19">
        <f t="shared" si="98"/>
        <v>0</v>
      </c>
      <c r="K79" s="68"/>
      <c r="L79" s="156"/>
      <c r="M79" s="229" t="str">
        <f>Groepsloting!$B$216</f>
        <v>WK 2026 Prijzen</v>
      </c>
      <c r="N79" s="229"/>
      <c r="O79" s="229"/>
      <c r="P79" s="229"/>
      <c r="Q79" s="229"/>
      <c r="R79" s="229"/>
      <c r="S79" s="229"/>
      <c r="T79" s="229"/>
      <c r="U79" s="229"/>
      <c r="V79" s="229"/>
      <c r="W79" s="69"/>
      <c r="X79" s="66"/>
      <c r="Y79" s="4"/>
      <c r="Z79" s="4"/>
      <c r="AA79" s="4"/>
      <c r="AB79" s="4"/>
      <c r="AC79" s="4"/>
      <c r="AD79" s="4"/>
      <c r="AE79" s="4"/>
      <c r="AF79" s="4"/>
      <c r="AG79" s="92"/>
      <c r="AH79" s="92" t="str">
        <f>IF(Inschrijving!G79="","",Inschrijving!D79)</f>
        <v/>
      </c>
      <c r="AI79" s="92" t="str">
        <f>IF(Inschrijving!G79="","",IF(Inschrijving!G79&gt;Inschrijving!I79,1,0))</f>
        <v/>
      </c>
      <c r="AJ79" s="92" t="str">
        <f>IF(Inschrijving!G79="","",IF(Inschrijving!G79&lt;Inschrijving!I79,1,0))</f>
        <v/>
      </c>
      <c r="AK79" s="92" t="str">
        <f>IF(Inschrijving!G79="","",IF(Inschrijving!G79=Inschrijving!I79,1,0))</f>
        <v/>
      </c>
      <c r="AL79" s="92" t="str">
        <f>IF(Inschrijving!I79="","",Inschrijving!F79)</f>
        <v/>
      </c>
      <c r="AM79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/>
      <c r="BB79"/>
      <c r="BC79"/>
      <c r="BD79" s="4"/>
      <c r="BE79" t="str">
        <f>BE6</f>
        <v>Tsjechië</v>
      </c>
      <c r="BF79" s="152" t="str">
        <f t="shared" si="102"/>
        <v>Tsjechië</v>
      </c>
      <c r="BG79" s="152"/>
      <c r="BH79"/>
    </row>
    <row r="80" spans="1:60" s="90" customFormat="1" ht="14.25" customHeight="1" x14ac:dyDescent="0.2">
      <c r="A80" s="127">
        <v>69</v>
      </c>
      <c r="B80" s="143" t="s">
        <v>485</v>
      </c>
      <c r="C80" s="142">
        <v>0.16666666666666666</v>
      </c>
      <c r="D80" s="60" t="str">
        <f>F76</f>
        <v>Algerije</v>
      </c>
      <c r="E80" s="61" t="s">
        <v>5</v>
      </c>
      <c r="F80" s="60" t="str">
        <f>D77</f>
        <v>Oostenrijk</v>
      </c>
      <c r="G80" s="17"/>
      <c r="H80" s="79" t="s">
        <v>5</v>
      </c>
      <c r="I80" s="17"/>
      <c r="J80" s="19">
        <f t="shared" si="98"/>
        <v>0</v>
      </c>
      <c r="K80" s="68"/>
      <c r="L80" s="156"/>
      <c r="M80" s="66"/>
      <c r="N80" s="66"/>
      <c r="O80" s="66"/>
      <c r="P80" s="66"/>
      <c r="Q80" s="66"/>
      <c r="R80" s="66"/>
      <c r="S80" s="66"/>
      <c r="T80" s="66"/>
      <c r="U80" s="66"/>
      <c r="V80" s="66"/>
      <c r="W80" s="69"/>
      <c r="X80" s="66"/>
      <c r="Y80" s="4"/>
      <c r="Z80" s="4"/>
      <c r="AA80" s="4"/>
      <c r="AB80" s="4"/>
      <c r="AC80" s="4"/>
      <c r="AD80" s="4"/>
      <c r="AE80" s="4"/>
      <c r="AF80" s="4"/>
      <c r="AG80" s="92"/>
      <c r="AH80" s="92" t="str">
        <f>IF(Inschrijving!G80="","",Inschrijving!D80)</f>
        <v/>
      </c>
      <c r="AI80" s="92" t="str">
        <f>IF(Inschrijving!G80="","",IF(Inschrijving!G80&gt;Inschrijving!I80,1,0))</f>
        <v/>
      </c>
      <c r="AJ80" s="92" t="str">
        <f>IF(Inschrijving!G80="","",IF(Inschrijving!G80&lt;Inschrijving!I80,1,0))</f>
        <v/>
      </c>
      <c r="AK80" s="92" t="str">
        <f>IF(Inschrijving!G80="","",IF(Inschrijving!G80=Inschrijving!I80,1,0))</f>
        <v/>
      </c>
      <c r="AL80" s="92" t="str">
        <f>IF(Inschrijving!I80="","",Inschrijving!F80)</f>
        <v/>
      </c>
      <c r="AM80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/>
      <c r="BB80"/>
      <c r="BC80"/>
      <c r="BD80" s="4"/>
      <c r="BE80" t="str">
        <f>BE9</f>
        <v>Canada</v>
      </c>
      <c r="BF80" s="152" t="str">
        <f>BE9</f>
        <v>Canada</v>
      </c>
      <c r="BG80" s="152"/>
      <c r="BH80"/>
    </row>
    <row r="81" spans="1:60" s="90" customFormat="1" ht="14.25" customHeight="1" x14ac:dyDescent="0.2">
      <c r="A81" s="127">
        <v>70</v>
      </c>
      <c r="B81" s="143" t="s">
        <v>485</v>
      </c>
      <c r="C81" s="142">
        <v>0.16666666666666666</v>
      </c>
      <c r="D81" s="60" t="str">
        <f>F77</f>
        <v>Jordanië</v>
      </c>
      <c r="E81" s="61" t="s">
        <v>5</v>
      </c>
      <c r="F81" s="60" t="str">
        <f>D76</f>
        <v>Argentinië</v>
      </c>
      <c r="G81" s="17"/>
      <c r="H81" s="79" t="s">
        <v>5</v>
      </c>
      <c r="I81" s="17"/>
      <c r="J81" s="19">
        <f t="shared" si="98"/>
        <v>0</v>
      </c>
      <c r="K81" s="68"/>
      <c r="L81" s="156"/>
      <c r="M81" s="169" t="str">
        <f>Groepsloting!$B217</f>
        <v>1e prijs</v>
      </c>
      <c r="N81" s="169"/>
      <c r="O81" s="170">
        <v>0.35</v>
      </c>
      <c r="P81" s="169"/>
      <c r="Q81" s="169"/>
      <c r="R81" s="169"/>
      <c r="S81" s="169"/>
      <c r="T81" s="169"/>
      <c r="U81" s="169"/>
      <c r="V81" s="166"/>
      <c r="W81" s="69"/>
      <c r="X81" s="66"/>
      <c r="Y81" s="4"/>
      <c r="Z81" s="4"/>
      <c r="AA81" s="4"/>
      <c r="AB81" s="4"/>
      <c r="AC81" s="4"/>
      <c r="AD81" s="4"/>
      <c r="AE81" s="4"/>
      <c r="AF81" s="4"/>
      <c r="AG81" s="92"/>
      <c r="AH81" s="92" t="str">
        <f>IF(Inschrijving!G81="","",Inschrijving!D81)</f>
        <v/>
      </c>
      <c r="AI81" s="92" t="str">
        <f>IF(Inschrijving!G81="","",IF(Inschrijving!G81&gt;Inschrijving!I81,1,0))</f>
        <v/>
      </c>
      <c r="AJ81" s="92" t="str">
        <f>IF(Inschrijving!G81="","",IF(Inschrijving!G81&lt;Inschrijving!I81,1,0))</f>
        <v/>
      </c>
      <c r="AK81" s="92" t="str">
        <f>IF(Inschrijving!G81="","",IF(Inschrijving!G81=Inschrijving!I81,1,0))</f>
        <v/>
      </c>
      <c r="AL81" s="92" t="str">
        <f>IF(Inschrijving!I81="","",Inschrijving!F81)</f>
        <v/>
      </c>
      <c r="AM81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/>
      <c r="BB81"/>
      <c r="BC81"/>
      <c r="BD81" s="4"/>
      <c r="BE81" t="str">
        <f>BE10</f>
        <v>Qatar</v>
      </c>
      <c r="BF81" s="152" t="str">
        <f>BE10</f>
        <v>Qatar</v>
      </c>
      <c r="BG81" s="152"/>
      <c r="BH81"/>
    </row>
    <row r="82" spans="1:60" s="90" customFormat="1" ht="14.25" customHeight="1" x14ac:dyDescent="0.2">
      <c r="A82" s="127"/>
      <c r="B82" s="126"/>
      <c r="C82" s="132"/>
      <c r="D82" s="20"/>
      <c r="E82" s="20"/>
      <c r="F82" s="20"/>
      <c r="G82" s="20"/>
      <c r="H82" s="63"/>
      <c r="I82" s="20"/>
      <c r="J82" s="78"/>
      <c r="K82" s="68"/>
      <c r="L82" s="156"/>
      <c r="M82" s="169" t="str">
        <f>Groepsloting!$B218</f>
        <v>2e prijs</v>
      </c>
      <c r="N82" s="169"/>
      <c r="O82" s="170">
        <v>0.25</v>
      </c>
      <c r="P82" s="169"/>
      <c r="Q82" s="169"/>
      <c r="R82" s="169"/>
      <c r="S82" s="169"/>
      <c r="T82" s="169"/>
      <c r="U82" s="169"/>
      <c r="V82" s="171"/>
      <c r="W82" s="69"/>
      <c r="X82" s="66"/>
      <c r="Y82" s="4"/>
      <c r="Z82" s="4"/>
      <c r="AA82" s="4"/>
      <c r="AB82" s="4"/>
      <c r="AC82" s="4"/>
      <c r="AD82" s="4"/>
      <c r="AE82" s="4"/>
      <c r="AF82" s="4"/>
      <c r="AG82" s="92"/>
      <c r="AH82" s="92"/>
      <c r="AI82" s="92"/>
      <c r="AJ82" s="92"/>
      <c r="AK82" s="92"/>
      <c r="AL82" s="92"/>
      <c r="AM82"/>
      <c r="AN82" s="4"/>
      <c r="AO82" s="94"/>
      <c r="AP82" s="94" t="s">
        <v>466</v>
      </c>
      <c r="AQ82" s="95" t="s">
        <v>61</v>
      </c>
      <c r="AR82" s="95" t="s">
        <v>68</v>
      </c>
      <c r="AS82" s="95" t="s">
        <v>65</v>
      </c>
      <c r="AT82" s="95" t="s">
        <v>66</v>
      </c>
      <c r="AU82" s="95" t="s">
        <v>67</v>
      </c>
      <c r="AV82" s="95" t="s">
        <v>62</v>
      </c>
      <c r="AW82" s="95" t="s">
        <v>63</v>
      </c>
      <c r="AX82" s="95" t="s">
        <v>64</v>
      </c>
      <c r="AY82" s="95"/>
      <c r="AZ82" s="94"/>
      <c r="BA82"/>
      <c r="BB82"/>
      <c r="BC82"/>
      <c r="BD82" s="94"/>
      <c r="BE82" t="str">
        <f>BE11</f>
        <v>Zwitserland</v>
      </c>
      <c r="BF82" s="152" t="str">
        <f>BE11</f>
        <v>Zwitserland</v>
      </c>
      <c r="BG82" s="152"/>
      <c r="BH82"/>
    </row>
    <row r="83" spans="1:60" s="90" customFormat="1" ht="14.25" customHeight="1" x14ac:dyDescent="0.2">
      <c r="A83" s="127"/>
      <c r="B83" s="62" t="str">
        <f>Groepsloting!$B$61</f>
        <v>Groep K</v>
      </c>
      <c r="C83" s="131"/>
      <c r="D83" s="58" t="str">
        <f>Groepsloting!$B$119</f>
        <v>Wedstrijd</v>
      </c>
      <c r="E83" s="59"/>
      <c r="F83" s="58"/>
      <c r="G83" s="58"/>
      <c r="H83" s="192" t="str">
        <f>Groepsloting!$B$120</f>
        <v>Uitslag</v>
      </c>
      <c r="I83" s="58"/>
      <c r="J83" s="64" t="str">
        <f>Groepsloting!$B$121</f>
        <v>Toto</v>
      </c>
      <c r="K83" s="68"/>
      <c r="L83" s="156"/>
      <c r="M83" s="169" t="str">
        <f>Groepsloting!$B219</f>
        <v>3e prijs</v>
      </c>
      <c r="N83" s="169"/>
      <c r="O83" s="170">
        <v>0.15</v>
      </c>
      <c r="P83" s="169"/>
      <c r="Q83" s="169"/>
      <c r="R83" s="169"/>
      <c r="S83" s="169"/>
      <c r="T83" s="169"/>
      <c r="U83" s="169"/>
      <c r="V83" s="166"/>
      <c r="W83" s="69"/>
      <c r="X83" s="66"/>
      <c r="Y83" s="4"/>
      <c r="Z83" s="4"/>
      <c r="AA83" s="4"/>
      <c r="AB83" s="4"/>
      <c r="AC83" s="4"/>
      <c r="AD83" s="4"/>
      <c r="AE83" s="4"/>
      <c r="AF83" s="4"/>
      <c r="AG83" s="92" t="s">
        <v>466</v>
      </c>
      <c r="AH83" s="93" t="s">
        <v>57</v>
      </c>
      <c r="AI83" s="93"/>
      <c r="AJ83" s="93"/>
      <c r="AK83" s="93"/>
      <c r="AL83" s="93" t="s">
        <v>59</v>
      </c>
      <c r="AM83"/>
      <c r="AN83" s="4" t="str">
        <f>AP82&amp;AO83</f>
        <v>K3</v>
      </c>
      <c r="AO83" s="94">
        <f>RANK(AZ83,$AZ$83:$AZ$86,1)</f>
        <v>3</v>
      </c>
      <c r="AP83" s="94" t="str">
        <f>Groepsloting!B62</f>
        <v>Congo</v>
      </c>
      <c r="AQ83" s="95">
        <f>COUNTIF(AH$2:AH$98,AP83)+COUNTIF(AL$2:AL$98,AP83)</f>
        <v>0</v>
      </c>
      <c r="AR83" s="95">
        <f>AV83*3+AW83</f>
        <v>0</v>
      </c>
      <c r="AS83" s="95">
        <f>SUMIF($D$84:$D$89,AP83,$G$84:$G$89)+SUMIF($F$84:$F$89,AP83,$I$84:$I$89)</f>
        <v>0</v>
      </c>
      <c r="AT83" s="95">
        <f>SUMIF($D$84:$D$89,AP83,$I$84:$I$89)+SUMIF($F$84:$F$89,AP83,$G$84:$G$89)</f>
        <v>0</v>
      </c>
      <c r="AU83" s="95">
        <f>AS83-AT83</f>
        <v>0</v>
      </c>
      <c r="AV83" s="95">
        <f>SUMIF(AH$2:AH$98,AP83,AI$2:AI$98)+SUMIF(AL$2:AL$98,AP83,AJ$2:AJ$98)</f>
        <v>0</v>
      </c>
      <c r="AW83" s="95">
        <f>SUMIF(AH$2:AH$98,AP83,AK$2:AK$98)+SUMIF(AL$2:AL$98,AP83,AK$2:AK$98)</f>
        <v>0</v>
      </c>
      <c r="AX83" s="95">
        <f>AQ83-SUM(AV83:AW83)</f>
        <v>0</v>
      </c>
      <c r="AY83" s="95"/>
      <c r="AZ83" s="94">
        <f>RANK(AR83,$AR$83:$AR$86)+RANK(AU83,$AU$83:$AU$86)/10+RANK(AS83,$AS$83:$AS$86,0)/100+RANK(AQ83,$AQ$83:$AQ$86,1)/500+VLOOKUP(AP83,$BF$3:$BG$50,2,0)/10000</f>
        <v>1.1166</v>
      </c>
      <c r="BA83" s="151"/>
      <c r="BB83"/>
      <c r="BC83" s="94"/>
      <c r="BD83" s="94"/>
      <c r="BE83" t="str">
        <f>BE12</f>
        <v>Bosnië-Herzegovina</v>
      </c>
      <c r="BF83" s="152" t="str">
        <f>BE12</f>
        <v>Bosnië-Herzegovina</v>
      </c>
      <c r="BG83" s="152"/>
      <c r="BH83"/>
    </row>
    <row r="84" spans="1:60" s="90" customFormat="1" ht="14.25" customHeight="1" x14ac:dyDescent="0.2">
      <c r="A84" s="127">
        <v>23</v>
      </c>
      <c r="B84" s="143" t="s">
        <v>483</v>
      </c>
      <c r="C84" s="142">
        <v>0.79166666666666663</v>
      </c>
      <c r="D84" s="60" t="str">
        <f>Groepsloting!B63</f>
        <v>Portugal</v>
      </c>
      <c r="E84" s="61" t="s">
        <v>5</v>
      </c>
      <c r="F84" s="60" t="str">
        <f>Groepsloting!B62</f>
        <v>Congo</v>
      </c>
      <c r="G84" s="17"/>
      <c r="H84" s="79" t="s">
        <v>5</v>
      </c>
      <c r="I84" s="17"/>
      <c r="J84" s="19">
        <f t="shared" ref="J84:J89" si="103">IF(AND(G84="",I84=""),0,IF(G84&gt;I84,1,IF(G84&lt;I84,2,3)))</f>
        <v>0</v>
      </c>
      <c r="K84" s="68"/>
      <c r="L84" s="156"/>
      <c r="M84" s="169" t="str">
        <f>Groepsloting!$B220</f>
        <v>13e prijs</v>
      </c>
      <c r="N84" s="169"/>
      <c r="O84" s="170">
        <v>0.05</v>
      </c>
      <c r="P84" s="169"/>
      <c r="Q84" s="169"/>
      <c r="R84" s="169"/>
      <c r="S84" s="169"/>
      <c r="T84" s="169"/>
      <c r="U84" s="169"/>
      <c r="V84" s="66"/>
      <c r="W84" s="69"/>
      <c r="X84" s="66"/>
      <c r="Y84" s="4"/>
      <c r="Z84" s="4"/>
      <c r="AA84" s="4"/>
      <c r="AB84" s="4"/>
      <c r="AC84" s="4"/>
      <c r="AD84" s="4"/>
      <c r="AE84" s="4"/>
      <c r="AF84" s="4"/>
      <c r="AG84" s="92"/>
      <c r="AH84" s="92" t="str">
        <f>IF(Inschrijving!G84="","",Inschrijving!D84)</f>
        <v/>
      </c>
      <c r="AI84" s="92" t="str">
        <f>IF(Inschrijving!G84="","",IF(Inschrijving!G84&gt;Inschrijving!I84,1,0))</f>
        <v/>
      </c>
      <c r="AJ84" s="92" t="str">
        <f>IF(Inschrijving!G84="","",IF(Inschrijving!G84&lt;Inschrijving!I84,1,0))</f>
        <v/>
      </c>
      <c r="AK84" s="92" t="str">
        <f>IF(Inschrijving!G84="","",IF(Inschrijving!G84=Inschrijving!I84,1,0))</f>
        <v/>
      </c>
      <c r="AL84" s="92" t="str">
        <f>IF(Inschrijving!I84="","",Inschrijving!F84)</f>
        <v/>
      </c>
      <c r="AM84"/>
      <c r="AN84" s="4" t="str">
        <f>AP82&amp;AO84</f>
        <v>K1</v>
      </c>
      <c r="AO84" s="94">
        <f>RANK(AZ84,$AZ$83:$AZ$86,1)</f>
        <v>1</v>
      </c>
      <c r="AP84" s="94" t="str">
        <f>Groepsloting!B63</f>
        <v>Portugal</v>
      </c>
      <c r="AQ84" s="95">
        <f>COUNTIF(AH$2:AH$98,AP84)+COUNTIF(AL$2:AL$98,AP84)</f>
        <v>0</v>
      </c>
      <c r="AR84" s="95">
        <f>AV84*3+AW84</f>
        <v>0</v>
      </c>
      <c r="AS84" s="95">
        <f t="shared" ref="AS84:AS86" si="104">SUMIF($D$84:$D$89,AP84,$G$84:$G$89)+SUMIF($F$84:$F$89,AP84,$I$84:$I$89)</f>
        <v>0</v>
      </c>
      <c r="AT84" s="95">
        <f t="shared" ref="AT84:AT86" si="105">SUMIF($D$84:$D$89,AP84,$I$84:$I$89)+SUMIF($F$84:$F$89,AP84,$G$84:$G$89)</f>
        <v>0</v>
      </c>
      <c r="AU84" s="95">
        <f>AS84-AT84</f>
        <v>0</v>
      </c>
      <c r="AV84" s="95">
        <f>SUMIF(AH$2:AH$98,AP84,AI$2:AI$98)+SUMIF(AL$2:AL$98,AP84,AJ$2:AJ$98)</f>
        <v>0</v>
      </c>
      <c r="AW84" s="95">
        <f>SUMIF(AH$2:AH$98,AP84,AK$2:AK$98)+SUMIF(AL$2:AL$98,AP84,AK$2:AK$98)</f>
        <v>0</v>
      </c>
      <c r="AX84" s="95">
        <f>AQ84-SUM(AV84:AW84)</f>
        <v>0</v>
      </c>
      <c r="AY84" s="95"/>
      <c r="AZ84" s="94">
        <f t="shared" ref="AZ84:AZ86" si="106">RANK(AR84,$AR$83:$AR$86)+RANK(AU84,$AU$83:$AU$86)/10+RANK(AS84,$AS$83:$AS$86,0)/100+RANK(AQ84,$AQ$83:$AQ$86,1)/500+VLOOKUP(AP84,$BF$3:$BG$50,2,0)/10000</f>
        <v>1.1125</v>
      </c>
      <c r="BA84" s="151"/>
      <c r="BB84"/>
      <c r="BC84" s="94"/>
      <c r="BD84" s="94"/>
      <c r="BE84"/>
      <c r="BF84" s="152" t="str">
        <f>BE15</f>
        <v>Brazilië</v>
      </c>
      <c r="BG84" s="152"/>
      <c r="BH84"/>
    </row>
    <row r="85" spans="1:60" s="90" customFormat="1" ht="14.25" customHeight="1" x14ac:dyDescent="0.2">
      <c r="A85" s="127">
        <v>24</v>
      </c>
      <c r="B85" s="143" t="s">
        <v>470</v>
      </c>
      <c r="C85" s="142">
        <v>0.16666666666666666</v>
      </c>
      <c r="D85" s="60" t="str">
        <f>Groepsloting!B64</f>
        <v>Oezbekistan</v>
      </c>
      <c r="E85" s="61" t="s">
        <v>5</v>
      </c>
      <c r="F85" s="60" t="str">
        <f>Groepsloting!B65</f>
        <v>Colombia</v>
      </c>
      <c r="G85" s="17"/>
      <c r="H85" s="79" t="s">
        <v>5</v>
      </c>
      <c r="I85" s="17"/>
      <c r="J85" s="19">
        <f t="shared" si="103"/>
        <v>0</v>
      </c>
      <c r="K85" s="68"/>
      <c r="L85" s="156"/>
      <c r="M85" s="169" t="str">
        <f>Groepsloting!$B221</f>
        <v>23e prijs</v>
      </c>
      <c r="N85" s="169"/>
      <c r="O85" s="170">
        <v>0.05</v>
      </c>
      <c r="P85" s="169"/>
      <c r="Q85" s="169"/>
      <c r="R85" s="169"/>
      <c r="S85" s="169"/>
      <c r="T85" s="169"/>
      <c r="U85" s="169"/>
      <c r="V85" s="66"/>
      <c r="W85" s="69"/>
      <c r="X85" s="66"/>
      <c r="Y85" s="4"/>
      <c r="Z85" s="4"/>
      <c r="AA85" s="4"/>
      <c r="AB85" s="4"/>
      <c r="AC85" s="4"/>
      <c r="AD85" s="4"/>
      <c r="AE85" s="4"/>
      <c r="AF85" s="4"/>
      <c r="AG85" s="92"/>
      <c r="AH85" s="92" t="str">
        <f>IF(Inschrijving!G85="","",Inschrijving!D85)</f>
        <v/>
      </c>
      <c r="AI85" s="92" t="str">
        <f>IF(Inschrijving!G85="","",IF(Inschrijving!G85&gt;Inschrijving!I85,1,0))</f>
        <v/>
      </c>
      <c r="AJ85" s="92" t="str">
        <f>IF(Inschrijving!G85="","",IF(Inschrijving!G85&lt;Inschrijving!I85,1,0))</f>
        <v/>
      </c>
      <c r="AK85" s="92" t="str">
        <f>IF(Inschrijving!G85="","",IF(Inschrijving!G85=Inschrijving!I85,1,0))</f>
        <v/>
      </c>
      <c r="AL85" s="92" t="str">
        <f>IF(Inschrijving!I85="","",Inschrijving!F85)</f>
        <v/>
      </c>
      <c r="AM85"/>
      <c r="AN85" s="4" t="str">
        <f>AP82&amp;AO85</f>
        <v>K4</v>
      </c>
      <c r="AO85" s="94">
        <f>RANK(AZ85,$AZ$83:$AZ$86,1)</f>
        <v>4</v>
      </c>
      <c r="AP85" s="94" t="str">
        <f>Groepsloting!B64</f>
        <v>Oezbekistan</v>
      </c>
      <c r="AQ85" s="95">
        <f>COUNTIF(AH$2:AH$98,AP85)+COUNTIF(AL$2:AL$98,AP85)</f>
        <v>0</v>
      </c>
      <c r="AR85" s="95">
        <f>AV85*3+AW85</f>
        <v>0</v>
      </c>
      <c r="AS85" s="95">
        <f t="shared" si="104"/>
        <v>0</v>
      </c>
      <c r="AT85" s="95">
        <f t="shared" si="105"/>
        <v>0</v>
      </c>
      <c r="AU85" s="95">
        <f>AS85-AT85</f>
        <v>0</v>
      </c>
      <c r="AV85" s="95">
        <f>SUMIF(AH$2:AH$98,AP85,AI$2:AI$98)+SUMIF(AL$2:AL$98,AP85,AJ$2:AJ$98)</f>
        <v>0</v>
      </c>
      <c r="AW85" s="95">
        <f>SUMIF(AH$2:AH$98,AP85,AK$2:AK$98)+SUMIF(AL$2:AL$98,AP85,AK$2:AK$98)</f>
        <v>0</v>
      </c>
      <c r="AX85" s="95">
        <f>AQ85-SUM(AV85:AW85)</f>
        <v>0</v>
      </c>
      <c r="AY85" s="95"/>
      <c r="AZ85" s="94">
        <f t="shared" si="106"/>
        <v>1.117</v>
      </c>
      <c r="BA85" s="151"/>
      <c r="BB85"/>
      <c r="BC85" s="94"/>
      <c r="BD85" s="94"/>
      <c r="BE85" s="91" t="s">
        <v>679</v>
      </c>
      <c r="BF85" s="152" t="str">
        <f>BE16</f>
        <v>Marokko</v>
      </c>
      <c r="BG85" s="152"/>
      <c r="BH85"/>
    </row>
    <row r="86" spans="1:60" s="90" customFormat="1" ht="14.25" customHeight="1" x14ac:dyDescent="0.2">
      <c r="A86" s="127">
        <v>47</v>
      </c>
      <c r="B86" s="143" t="s">
        <v>484</v>
      </c>
      <c r="C86" s="142">
        <v>0.79166666666666663</v>
      </c>
      <c r="D86" s="60" t="str">
        <f>D84</f>
        <v>Portugal</v>
      </c>
      <c r="E86" s="61" t="s">
        <v>5</v>
      </c>
      <c r="F86" s="60" t="str">
        <f>D85</f>
        <v>Oezbekistan</v>
      </c>
      <c r="G86" s="17"/>
      <c r="H86" s="79" t="s">
        <v>5</v>
      </c>
      <c r="I86" s="17"/>
      <c r="J86" s="19">
        <f t="shared" si="103"/>
        <v>0</v>
      </c>
      <c r="K86" s="68"/>
      <c r="L86" s="156"/>
      <c r="M86" s="169" t="str">
        <f>Groepsloting!$B222</f>
        <v>33e prijs</v>
      </c>
      <c r="N86" s="169"/>
      <c r="O86" s="170">
        <v>0.05</v>
      </c>
      <c r="P86" s="169"/>
      <c r="Q86" s="169"/>
      <c r="R86" s="169"/>
      <c r="S86" s="169"/>
      <c r="T86" s="169"/>
      <c r="U86" s="169"/>
      <c r="V86" s="66"/>
      <c r="W86" s="69"/>
      <c r="X86" s="66"/>
      <c r="Y86" s="4"/>
      <c r="Z86" s="4"/>
      <c r="AA86" s="4"/>
      <c r="AB86" s="4"/>
      <c r="AC86" s="4"/>
      <c r="AD86" s="4"/>
      <c r="AE86" s="4"/>
      <c r="AF86" s="4"/>
      <c r="AG86" s="92"/>
      <c r="AH86" s="92" t="str">
        <f>IF(Inschrijving!G86="","",Inschrijving!D86)</f>
        <v/>
      </c>
      <c r="AI86" s="92" t="str">
        <f>IF(Inschrijving!G86="","",IF(Inschrijving!G86&gt;Inschrijving!I86,1,0))</f>
        <v/>
      </c>
      <c r="AJ86" s="92" t="str">
        <f>IF(Inschrijving!G86="","",IF(Inschrijving!G86&lt;Inschrijving!I86,1,0))</f>
        <v/>
      </c>
      <c r="AK86" s="92" t="str">
        <f>IF(Inschrijving!G86="","",IF(Inschrijving!G86=Inschrijving!I86,1,0))</f>
        <v/>
      </c>
      <c r="AL86" s="92" t="str">
        <f>IF(Inschrijving!I86="","",Inschrijving!F86)</f>
        <v/>
      </c>
      <c r="AM86"/>
      <c r="AN86" s="4" t="str">
        <f>AP82&amp;AO86</f>
        <v>K2</v>
      </c>
      <c r="AO86" s="94">
        <f>RANK(AZ86,$AZ$83:$AZ$86,1)</f>
        <v>2</v>
      </c>
      <c r="AP86" s="94" t="str">
        <f>Groepsloting!B65</f>
        <v>Colombia</v>
      </c>
      <c r="AQ86" s="95">
        <f>COUNTIF(AH$2:AH$98,AP86)+COUNTIF(AL$2:AL$98,AP86)</f>
        <v>0</v>
      </c>
      <c r="AR86" s="95">
        <f>AV86*3+AW86</f>
        <v>0</v>
      </c>
      <c r="AS86" s="95">
        <f t="shared" si="104"/>
        <v>0</v>
      </c>
      <c r="AT86" s="95">
        <f t="shared" si="105"/>
        <v>0</v>
      </c>
      <c r="AU86" s="95">
        <f>AS86-AT86</f>
        <v>0</v>
      </c>
      <c r="AV86" s="95">
        <f>SUMIF(AH$2:AH$98,AP86,AI$2:AI$98)+SUMIF(AL$2:AL$98,AP86,AJ$2:AJ$98)</f>
        <v>0</v>
      </c>
      <c r="AW86" s="95">
        <f>SUMIF(AH$2:AH$98,AP86,AK$2:AK$98)+SUMIF(AL$2:AL$98,AP86,AK$2:AK$98)</f>
        <v>0</v>
      </c>
      <c r="AX86" s="95">
        <f>AQ86-SUM(AV86:AW86)</f>
        <v>0</v>
      </c>
      <c r="AY86" s="95"/>
      <c r="AZ86" s="94">
        <f t="shared" si="106"/>
        <v>1.1133000000000002</v>
      </c>
      <c r="BA86" s="151"/>
      <c r="BB86"/>
      <c r="BC86" s="94"/>
      <c r="BD86" s="94"/>
      <c r="BE86" t="str">
        <f>BE15</f>
        <v>Brazilië</v>
      </c>
      <c r="BF86" s="152" t="str">
        <f>BE17</f>
        <v>Haïti</v>
      </c>
      <c r="BG86" s="152"/>
      <c r="BH86"/>
    </row>
    <row r="87" spans="1:60" s="90" customFormat="1" ht="14.25" customHeight="1" x14ac:dyDescent="0.2">
      <c r="A87" s="127">
        <v>48</v>
      </c>
      <c r="B87" s="143" t="s">
        <v>474</v>
      </c>
      <c r="C87" s="142">
        <v>0.16666666666666666</v>
      </c>
      <c r="D87" s="60" t="str">
        <f>F85</f>
        <v>Colombia</v>
      </c>
      <c r="E87" s="61" t="s">
        <v>5</v>
      </c>
      <c r="F87" s="60" t="str">
        <f>F84</f>
        <v>Congo</v>
      </c>
      <c r="G87" s="17"/>
      <c r="H87" s="79" t="s">
        <v>5</v>
      </c>
      <c r="I87" s="17"/>
      <c r="J87" s="19">
        <f t="shared" si="103"/>
        <v>0</v>
      </c>
      <c r="K87" s="68"/>
      <c r="L87" s="156"/>
      <c r="M87" s="169" t="str">
        <f>Groepsloting!$B223</f>
        <v>43e prijs</v>
      </c>
      <c r="N87" s="169"/>
      <c r="O87" s="170">
        <v>0.05</v>
      </c>
      <c r="P87" s="169"/>
      <c r="Q87" s="169"/>
      <c r="R87" s="169"/>
      <c r="S87" s="169"/>
      <c r="T87" s="169"/>
      <c r="U87" s="169"/>
      <c r="V87" s="66"/>
      <c r="W87" s="69"/>
      <c r="X87" s="66"/>
      <c r="Y87" s="4"/>
      <c r="Z87" s="4"/>
      <c r="AA87" s="4"/>
      <c r="AB87" s="4"/>
      <c r="AC87" s="4"/>
      <c r="AD87" s="4"/>
      <c r="AE87" s="4"/>
      <c r="AF87" s="4"/>
      <c r="AG87" s="92"/>
      <c r="AH87" s="92" t="str">
        <f>IF(Inschrijving!G87="","",Inschrijving!D87)</f>
        <v/>
      </c>
      <c r="AI87" s="92" t="str">
        <f>IF(Inschrijving!G87="","",IF(Inschrijving!G87&gt;Inschrijving!I87,1,0))</f>
        <v/>
      </c>
      <c r="AJ87" s="92" t="str">
        <f>IF(Inschrijving!G87="","",IF(Inschrijving!G87&lt;Inschrijving!I87,1,0))</f>
        <v/>
      </c>
      <c r="AK87" s="92" t="str">
        <f>IF(Inschrijving!G87="","",IF(Inschrijving!G87=Inschrijving!I87,1,0))</f>
        <v/>
      </c>
      <c r="AL87" s="92" t="str">
        <f>IF(Inschrijving!I87="","",Inschrijving!F87)</f>
        <v/>
      </c>
      <c r="AM87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/>
      <c r="BB87"/>
      <c r="BC87"/>
      <c r="BD87" s="4"/>
      <c r="BE87" t="str">
        <f>BE16</f>
        <v>Marokko</v>
      </c>
      <c r="BF87" s="152" t="str">
        <f>BE18</f>
        <v>Schotland</v>
      </c>
      <c r="BG87" s="152"/>
      <c r="BH87"/>
    </row>
    <row r="88" spans="1:60" s="90" customFormat="1" ht="14.25" customHeight="1" x14ac:dyDescent="0.2">
      <c r="A88" s="127">
        <v>71</v>
      </c>
      <c r="B88" s="143" t="s">
        <v>485</v>
      </c>
      <c r="C88" s="142">
        <v>6.25E-2</v>
      </c>
      <c r="D88" s="60" t="str">
        <f>F85</f>
        <v>Colombia</v>
      </c>
      <c r="E88" s="61" t="s">
        <v>5</v>
      </c>
      <c r="F88" s="60" t="str">
        <f>D84</f>
        <v>Portugal</v>
      </c>
      <c r="G88" s="17"/>
      <c r="H88" s="79" t="s">
        <v>5</v>
      </c>
      <c r="I88" s="17"/>
      <c r="J88" s="19">
        <f t="shared" si="103"/>
        <v>0</v>
      </c>
      <c r="K88" s="68"/>
      <c r="L88" s="156"/>
      <c r="M88" s="169" t="str">
        <f>Groepsloting!$B224</f>
        <v>53e prijs</v>
      </c>
      <c r="N88" s="169"/>
      <c r="O88" s="170">
        <v>0.05</v>
      </c>
      <c r="P88" s="169"/>
      <c r="Q88" s="169"/>
      <c r="R88" s="169"/>
      <c r="S88" s="169"/>
      <c r="T88" s="169"/>
      <c r="U88" s="169"/>
      <c r="V88" s="66"/>
      <c r="W88" s="69"/>
      <c r="X88" s="66"/>
      <c r="Y88" s="4"/>
      <c r="Z88" s="4"/>
      <c r="AA88" s="4"/>
      <c r="AB88" s="4"/>
      <c r="AC88" s="4"/>
      <c r="AD88" s="4"/>
      <c r="AE88" s="4"/>
      <c r="AF88" s="4"/>
      <c r="AG88" s="92"/>
      <c r="AH88" s="92" t="str">
        <f>IF(Inschrijving!G88="","",Inschrijving!D88)</f>
        <v/>
      </c>
      <c r="AI88" s="92" t="str">
        <f>IF(Inschrijving!G88="","",IF(Inschrijving!G88&gt;Inschrijving!I88,1,0))</f>
        <v/>
      </c>
      <c r="AJ88" s="92" t="str">
        <f>IF(Inschrijving!G88="","",IF(Inschrijving!G88&lt;Inschrijving!I88,1,0))</f>
        <v/>
      </c>
      <c r="AK88" s="92" t="str">
        <f>IF(Inschrijving!G88="","",IF(Inschrijving!G88=Inschrijving!I88,1,0))</f>
        <v/>
      </c>
      <c r="AL88" s="92" t="str">
        <f>IF(Inschrijving!I88="","",Inschrijving!F88)</f>
        <v/>
      </c>
      <c r="AM88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/>
      <c r="BB88"/>
      <c r="BC88"/>
      <c r="BD88" s="4"/>
      <c r="BE88" t="str">
        <f>BE17</f>
        <v>Haïti</v>
      </c>
      <c r="BF88" s="152"/>
      <c r="BG88" s="152"/>
      <c r="BH88"/>
    </row>
    <row r="89" spans="1:60" s="90" customFormat="1" ht="14.25" customHeight="1" x14ac:dyDescent="0.2">
      <c r="A89" s="127">
        <v>72</v>
      </c>
      <c r="B89" s="143" t="s">
        <v>485</v>
      </c>
      <c r="C89" s="142">
        <v>6.25E-2</v>
      </c>
      <c r="D89" s="60" t="str">
        <f>F84</f>
        <v>Congo</v>
      </c>
      <c r="E89" s="61" t="s">
        <v>5</v>
      </c>
      <c r="F89" s="60" t="str">
        <f>D85</f>
        <v>Oezbekistan</v>
      </c>
      <c r="G89" s="17"/>
      <c r="H89" s="79" t="s">
        <v>5</v>
      </c>
      <c r="I89" s="17"/>
      <c r="J89" s="19">
        <f t="shared" si="103"/>
        <v>0</v>
      </c>
      <c r="K89" s="68"/>
      <c r="L89" s="156"/>
      <c r="M89" s="169" t="str">
        <f>Groepsloting!$B225</f>
        <v>Troostprijs</v>
      </c>
      <c r="N89" s="169"/>
      <c r="O89" s="240" t="s">
        <v>742</v>
      </c>
      <c r="P89" s="240"/>
      <c r="Q89" s="240"/>
      <c r="R89" s="240"/>
      <c r="S89" s="240"/>
      <c r="T89" s="240"/>
      <c r="U89" s="240"/>
      <c r="V89" s="66"/>
      <c r="W89" s="69"/>
      <c r="X89" s="66"/>
      <c r="Y89" s="4"/>
      <c r="Z89" s="4"/>
      <c r="AA89" s="4"/>
      <c r="AB89" s="4"/>
      <c r="AC89" s="4"/>
      <c r="AD89" s="4"/>
      <c r="AE89" s="4"/>
      <c r="AF89" s="4"/>
      <c r="AG89" s="92"/>
      <c r="AH89" s="92" t="str">
        <f>IF(Inschrijving!G89="","",Inschrijving!D89)</f>
        <v/>
      </c>
      <c r="AI89" s="92" t="str">
        <f>IF(Inschrijving!G89="","",IF(Inschrijving!G89&gt;Inschrijving!I89,1,0))</f>
        <v/>
      </c>
      <c r="AJ89" s="92" t="str">
        <f>IF(Inschrijving!G89="","",IF(Inschrijving!G89&lt;Inschrijving!I89,1,0))</f>
        <v/>
      </c>
      <c r="AK89" s="92" t="str">
        <f>IF(Inschrijving!G89="","",IF(Inschrijving!G89=Inschrijving!I89,1,0))</f>
        <v/>
      </c>
      <c r="AL89" s="92" t="str">
        <f>IF(Inschrijving!I89="","",Inschrijving!F89)</f>
        <v/>
      </c>
      <c r="AM89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/>
      <c r="BB89"/>
      <c r="BC89"/>
      <c r="BD89" s="4"/>
      <c r="BE89" t="str">
        <f>BE18</f>
        <v>Schotland</v>
      </c>
      <c r="BF89" s="212" t="s">
        <v>687</v>
      </c>
      <c r="BG89" s="152"/>
      <c r="BH89"/>
    </row>
    <row r="90" spans="1:60" s="90" customFormat="1" ht="14.25" customHeight="1" x14ac:dyDescent="0.2">
      <c r="A90" s="127"/>
      <c r="B90" s="178"/>
      <c r="C90" s="179"/>
      <c r="D90" s="183"/>
      <c r="E90" s="184"/>
      <c r="F90" s="183"/>
      <c r="G90" s="180"/>
      <c r="H90" s="181"/>
      <c r="I90" s="180"/>
      <c r="J90" s="182"/>
      <c r="K90" s="68"/>
      <c r="L90" s="156"/>
      <c r="M90" s="173" t="str">
        <f>Groepsloting!$B227</f>
        <v>Bij gelijke stand worden prijzen gedeeld</v>
      </c>
      <c r="N90" s="169"/>
      <c r="O90" s="172"/>
      <c r="P90" s="169"/>
      <c r="Q90" s="169"/>
      <c r="R90" s="169"/>
      <c r="S90" s="169"/>
      <c r="T90" s="169"/>
      <c r="U90" s="169"/>
      <c r="V90" s="66"/>
      <c r="W90" s="69"/>
      <c r="X90" s="66"/>
      <c r="Y90" s="4"/>
      <c r="Z90" s="4"/>
      <c r="AA90" s="4"/>
      <c r="AB90" s="4"/>
      <c r="AC90" s="4"/>
      <c r="AD90" s="4"/>
      <c r="AE90" s="4"/>
      <c r="AF90" s="4"/>
      <c r="AG90" s="92"/>
      <c r="AH90" s="92"/>
      <c r="AI90" s="92"/>
      <c r="AJ90" s="92"/>
      <c r="AK90" s="92"/>
      <c r="AL90" s="92"/>
      <c r="AM90"/>
      <c r="AN90" s="4"/>
      <c r="AO90" s="94"/>
      <c r="AP90" s="94" t="s">
        <v>467</v>
      </c>
      <c r="AQ90" s="95" t="s">
        <v>61</v>
      </c>
      <c r="AR90" s="95" t="s">
        <v>68</v>
      </c>
      <c r="AS90" s="95" t="s">
        <v>65</v>
      </c>
      <c r="AT90" s="95" t="s">
        <v>66</v>
      </c>
      <c r="AU90" s="95" t="s">
        <v>67</v>
      </c>
      <c r="AV90" s="95" t="s">
        <v>62</v>
      </c>
      <c r="AW90" s="95" t="s">
        <v>63</v>
      </c>
      <c r="AX90" s="95" t="s">
        <v>64</v>
      </c>
      <c r="AY90" s="95"/>
      <c r="AZ90" s="94"/>
      <c r="BA90"/>
      <c r="BB90"/>
      <c r="BC90"/>
      <c r="BD90" s="94"/>
      <c r="BE90" t="str">
        <f t="shared" ref="BE90:BE93" si="107">BE33</f>
        <v>Nederland</v>
      </c>
      <c r="BF90" s="152" t="s">
        <v>36</v>
      </c>
      <c r="BG90" s="152"/>
      <c r="BH90"/>
    </row>
    <row r="91" spans="1:60" s="90" customFormat="1" ht="14.25" customHeight="1" thickBot="1" x14ac:dyDescent="0.25">
      <c r="A91" s="127"/>
      <c r="B91" s="62" t="str">
        <f>Groepsloting!$B$67</f>
        <v>Groep L</v>
      </c>
      <c r="C91" s="131"/>
      <c r="D91" s="58" t="str">
        <f>Groepsloting!$B$119</f>
        <v>Wedstrijd</v>
      </c>
      <c r="E91" s="59"/>
      <c r="F91" s="58"/>
      <c r="G91" s="58"/>
      <c r="H91" s="192" t="str">
        <f>Groepsloting!$B$120</f>
        <v>Uitslag</v>
      </c>
      <c r="I91" s="58"/>
      <c r="J91" s="64" t="str">
        <f>Groepsloting!$B$121</f>
        <v>Toto</v>
      </c>
      <c r="K91" s="68"/>
      <c r="L91" s="156"/>
      <c r="W91" s="69"/>
      <c r="X91" s="66"/>
      <c r="Y91" s="4"/>
      <c r="Z91" s="4"/>
      <c r="AA91" s="4"/>
      <c r="AB91" s="4"/>
      <c r="AC91" s="4"/>
      <c r="AD91" s="4"/>
      <c r="AE91" s="4"/>
      <c r="AF91" s="4"/>
      <c r="AG91" s="92" t="s">
        <v>467</v>
      </c>
      <c r="AH91" s="93" t="s">
        <v>57</v>
      </c>
      <c r="AI91" s="93"/>
      <c r="AJ91" s="93"/>
      <c r="AK91" s="93"/>
      <c r="AL91" s="93" t="s">
        <v>59</v>
      </c>
      <c r="AM91"/>
      <c r="AN91" s="4" t="str">
        <f>AP90&amp;AO91</f>
        <v>L1</v>
      </c>
      <c r="AO91" s="94">
        <f>RANK(AZ91,$AZ$91:$AZ$94,1)</f>
        <v>1</v>
      </c>
      <c r="AP91" s="94" t="str">
        <f>Groepsloting!B68</f>
        <v>Engeland</v>
      </c>
      <c r="AQ91" s="95">
        <f>COUNTIF(AH$2:AH$98,AP91)+COUNTIF(AL$2:AL$98,AP91)</f>
        <v>0</v>
      </c>
      <c r="AR91" s="95">
        <f>AV91*3+AW91</f>
        <v>0</v>
      </c>
      <c r="AS91" s="95">
        <f>SUMIF($D$92:$D$97,AP91,$G$92:$G$97)+SUMIF($F$92:$F$97,AP91,$I$92:$I$97)</f>
        <v>0</v>
      </c>
      <c r="AT91" s="95">
        <f>SUMIF($D$92:$D$97,AP91,$I$92:$I$97)+SUMIF($F$92:$F$97,AP91,$G$92:$G$97)</f>
        <v>0</v>
      </c>
      <c r="AU91" s="95">
        <f>AS91-AT91</f>
        <v>0</v>
      </c>
      <c r="AV91" s="95">
        <f>SUMIF(AH$2:AH$98,AP91,AI$2:AI$98)+SUMIF(AL$2:AL$98,AP91,AJ$2:AJ$98)</f>
        <v>0</v>
      </c>
      <c r="AW91" s="95">
        <f>SUMIF(AH$2:AH$98,AP91,AK$2:AK$98)+SUMIF(AL$2:AL$98,AP91,AK$2:AK$98)</f>
        <v>0</v>
      </c>
      <c r="AX91" s="95">
        <f>AQ91-SUM(AV91:AW91)</f>
        <v>0</v>
      </c>
      <c r="AY91" s="95"/>
      <c r="AZ91" s="94">
        <f>RANK(AR91,$AR$91:$AR$94)+RANK(AU91,$AU$91:$AU$94)/10+RANK(AS91,$AS$91:$AS$94,0)/100+RANK(AQ91,$AQ$91:$AQ$94,1)/500+VLOOKUP(AP91,$BF$3:$BG$50,2,0)/10000</f>
        <v>1.1124000000000001</v>
      </c>
      <c r="BA91" s="151"/>
      <c r="BB91"/>
      <c r="BC91" s="94"/>
      <c r="BD91" s="94"/>
      <c r="BE91" t="str">
        <f t="shared" si="107"/>
        <v>Japan</v>
      </c>
      <c r="BF91" s="152" t="s">
        <v>409</v>
      </c>
      <c r="BG91" s="152"/>
      <c r="BH91"/>
    </row>
    <row r="92" spans="1:60" s="90" customFormat="1" ht="14.25" customHeight="1" x14ac:dyDescent="0.2">
      <c r="A92" s="127">
        <v>22</v>
      </c>
      <c r="B92" s="143" t="s">
        <v>483</v>
      </c>
      <c r="C92" s="142">
        <v>0.91666666666666663</v>
      </c>
      <c r="D92" s="60" t="str">
        <f>Groepsloting!B68</f>
        <v>Engeland</v>
      </c>
      <c r="E92" s="61" t="s">
        <v>5</v>
      </c>
      <c r="F92" s="60" t="str">
        <f>Groepsloting!B69</f>
        <v>Kroatië</v>
      </c>
      <c r="G92" s="17"/>
      <c r="H92" s="79" t="s">
        <v>5</v>
      </c>
      <c r="I92" s="17"/>
      <c r="J92" s="19">
        <f t="shared" ref="J92:J97" si="108">IF(AND(G92="",I92=""),0,IF(G92&gt;I92,1,IF(G92&lt;I92,2,3)))</f>
        <v>0</v>
      </c>
      <c r="K92" s="68"/>
      <c r="L92" s="156"/>
      <c r="M92" s="70" t="str">
        <f>IF(AND(ISBLANK($N$10),ISBLANK($N$11),ISBLANK($N$12)),CONCATENATE(Groepsloting!$B$228,Groepsloting!$B$229,Groepsloting!$B$230),CONCATENATE(Groepsloting!$B$228,$N$10,Groepsloting!$B$230))</f>
        <v xml:space="preserve">Als alles is ingevuld, sla het bestand op met de bestandsnaam: Teamnaam.xlsx </v>
      </c>
      <c r="N92" s="71"/>
      <c r="O92" s="71"/>
      <c r="P92" s="71"/>
      <c r="Q92" s="83"/>
      <c r="R92" s="71"/>
      <c r="S92" s="71"/>
      <c r="T92" s="71"/>
      <c r="U92" s="37"/>
      <c r="V92" s="72"/>
      <c r="W92" s="69"/>
      <c r="X92" s="66"/>
      <c r="Y92" s="4"/>
      <c r="Z92" s="4"/>
      <c r="AA92" s="4"/>
      <c r="AB92" s="4"/>
      <c r="AC92" s="4"/>
      <c r="AD92" s="4"/>
      <c r="AE92" s="4"/>
      <c r="AF92" s="4"/>
      <c r="AG92" s="92"/>
      <c r="AH92" s="92" t="str">
        <f>IF(Inschrijving!G92="","",Inschrijving!D92)</f>
        <v/>
      </c>
      <c r="AI92" s="92" t="str">
        <f>IF(Inschrijving!G92="","",IF(Inschrijving!G92&gt;Inschrijving!I92,1,0))</f>
        <v/>
      </c>
      <c r="AJ92" s="92" t="str">
        <f>IF(Inschrijving!G92="","",IF(Inschrijving!G92&lt;Inschrijving!I92,1,0))</f>
        <v/>
      </c>
      <c r="AK92" s="92" t="str">
        <f>IF(Inschrijving!G92="","",IF(Inschrijving!G92=Inschrijving!I92,1,0))</f>
        <v/>
      </c>
      <c r="AL92" s="92" t="str">
        <f>IF(Inschrijving!I92="","",Inschrijving!F92)</f>
        <v/>
      </c>
      <c r="AM92"/>
      <c r="AN92" s="4" t="str">
        <f>AP90&amp;AO92</f>
        <v>L2</v>
      </c>
      <c r="AO92" s="94">
        <f>RANK(AZ92,$AZ$91:$AZ$94,1)</f>
        <v>2</v>
      </c>
      <c r="AP92" s="94" t="str">
        <f>Groepsloting!B69</f>
        <v>Kroatië</v>
      </c>
      <c r="AQ92" s="95">
        <f>COUNTIF(AH$2:AH$98,AP92)+COUNTIF(AL$2:AL$98,AP92)</f>
        <v>0</v>
      </c>
      <c r="AR92" s="95">
        <f>AV92*3+AW92</f>
        <v>0</v>
      </c>
      <c r="AS92" s="95">
        <f t="shared" ref="AS92:AS94" si="109">SUMIF($D$92:$D$97,AP92,$G$92:$G$97)+SUMIF($F$92:$F$97,AP92,$I$92:$I$97)</f>
        <v>0</v>
      </c>
      <c r="AT92" s="95">
        <f t="shared" ref="AT92:AT94" si="110">SUMIF($D$92:$D$97,AP92,$I$92:$I$97)+SUMIF($F$92:$F$97,AP92,$G$92:$G$97)</f>
        <v>0</v>
      </c>
      <c r="AU92" s="95">
        <f>AS92-AT92</f>
        <v>0</v>
      </c>
      <c r="AV92" s="95">
        <f>SUMIF(AH$2:AH$98,AP92,AI$2:AI$98)+SUMIF(AL$2:AL$98,AP92,AJ$2:AJ$98)</f>
        <v>0</v>
      </c>
      <c r="AW92" s="95">
        <f>SUMIF(AH$2:AH$98,AP92,AK$2:AK$98)+SUMIF(AL$2:AL$98,AP92,AK$2:AK$98)</f>
        <v>0</v>
      </c>
      <c r="AX92" s="95">
        <f>AQ92-SUM(AV92:AW92)</f>
        <v>0</v>
      </c>
      <c r="AY92" s="95"/>
      <c r="AZ92" s="94">
        <f t="shared" ref="AZ92:AZ94" si="111">RANK(AR92,$AR$91:$AR$94)+RANK(AU92,$AU$91:$AU$94)/10+RANK(AS92,$AS$91:$AS$94,0)/100+RANK(AQ92,$AQ$91:$AQ$94,1)/500+VLOOKUP(AP92,$BF$3:$BG$50,2,0)/10000</f>
        <v>1.1131000000000002</v>
      </c>
      <c r="BA92" s="151"/>
      <c r="BB92"/>
      <c r="BC92" s="94"/>
      <c r="BD92" s="94"/>
      <c r="BE92" t="str">
        <f t="shared" si="107"/>
        <v>Tunesië</v>
      </c>
      <c r="BF92" s="152" t="s">
        <v>43</v>
      </c>
      <c r="BG92" s="152"/>
      <c r="BH92"/>
    </row>
    <row r="93" spans="1:60" s="90" customFormat="1" ht="14.25" customHeight="1" x14ac:dyDescent="0.2">
      <c r="A93" s="127">
        <v>21</v>
      </c>
      <c r="B93" s="143" t="s">
        <v>470</v>
      </c>
      <c r="C93" s="142">
        <v>4.1666666666666664E-2</v>
      </c>
      <c r="D93" s="60" t="str">
        <f>Groepsloting!B70</f>
        <v>Ghana</v>
      </c>
      <c r="E93" s="61" t="s">
        <v>5</v>
      </c>
      <c r="F93" s="60" t="str">
        <f>Groepsloting!B71</f>
        <v>Panama</v>
      </c>
      <c r="G93" s="17"/>
      <c r="H93" s="79" t="s">
        <v>5</v>
      </c>
      <c r="I93" s="17"/>
      <c r="J93" s="19">
        <f t="shared" si="108"/>
        <v>0</v>
      </c>
      <c r="K93" s="68"/>
      <c r="L93" s="156"/>
      <c r="M93" s="84" t="str">
        <f>Groepsloting!B231</f>
        <v>en stuur deze dan naar:</v>
      </c>
      <c r="N93" s="81" t="s">
        <v>185</v>
      </c>
      <c r="O93" s="81"/>
      <c r="P93" s="81"/>
      <c r="Q93" s="81"/>
      <c r="R93" s="81"/>
      <c r="S93" s="81"/>
      <c r="T93" s="81"/>
      <c r="U93" s="81"/>
      <c r="V93" s="82"/>
      <c r="W93" s="69"/>
      <c r="X93" s="66"/>
      <c r="Y93" s="4"/>
      <c r="Z93" s="4"/>
      <c r="AA93" s="4"/>
      <c r="AB93" s="4"/>
      <c r="AC93" s="4"/>
      <c r="AD93" s="4"/>
      <c r="AE93" s="4"/>
      <c r="AF93" s="4"/>
      <c r="AG93" s="92"/>
      <c r="AH93" s="92" t="str">
        <f>IF(Inschrijving!G93="","",Inschrijving!D93)</f>
        <v/>
      </c>
      <c r="AI93" s="92" t="str">
        <f>IF(Inschrijving!G93="","",IF(Inschrijving!G93&gt;Inschrijving!I93,1,0))</f>
        <v/>
      </c>
      <c r="AJ93" s="92" t="str">
        <f>IF(Inschrijving!G93="","",IF(Inschrijving!G93&lt;Inschrijving!I93,1,0))</f>
        <v/>
      </c>
      <c r="AK93" s="92" t="str">
        <f>IF(Inschrijving!G93="","",IF(Inschrijving!G93=Inschrijving!I93,1,0))</f>
        <v/>
      </c>
      <c r="AL93" s="92" t="str">
        <f>IF(Inschrijving!I93="","",Inschrijving!F93)</f>
        <v/>
      </c>
      <c r="AM93"/>
      <c r="AN93" s="4" t="str">
        <f>AP90&amp;AO93</f>
        <v>L4</v>
      </c>
      <c r="AO93" s="94">
        <f>RANK(AZ93,$AZ$91:$AZ$94,1)</f>
        <v>4</v>
      </c>
      <c r="AP93" s="94" t="str">
        <f>Groepsloting!B70</f>
        <v>Ghana</v>
      </c>
      <c r="AQ93" s="95">
        <f>COUNTIF(AH$2:AH$98,AP93)+COUNTIF(AL$2:AL$98,AP93)</f>
        <v>0</v>
      </c>
      <c r="AR93" s="95">
        <f>AV93*3+AW93</f>
        <v>0</v>
      </c>
      <c r="AS93" s="95">
        <f t="shared" si="109"/>
        <v>0</v>
      </c>
      <c r="AT93" s="95">
        <f t="shared" si="110"/>
        <v>0</v>
      </c>
      <c r="AU93" s="95">
        <f>AS93-AT93</f>
        <v>0</v>
      </c>
      <c r="AV93" s="95">
        <f>SUMIF(AH$2:AH$98,AP93,AI$2:AI$98)+SUMIF(AL$2:AL$98,AP93,AJ$2:AJ$98)</f>
        <v>0</v>
      </c>
      <c r="AW93" s="95">
        <f>SUMIF(AH$2:AH$98,AP93,AK$2:AK$98)+SUMIF(AL$2:AL$98,AP93,AK$2:AK$98)</f>
        <v>0</v>
      </c>
      <c r="AX93" s="95">
        <f>AQ93-SUM(AV93:AW93)</f>
        <v>0</v>
      </c>
      <c r="AY93" s="95"/>
      <c r="AZ93" s="94">
        <f t="shared" si="111"/>
        <v>1.1194000000000002</v>
      </c>
      <c r="BA93" s="151"/>
      <c r="BB93"/>
      <c r="BC93" s="94"/>
      <c r="BD93" s="94"/>
      <c r="BE93" t="str">
        <f t="shared" si="107"/>
        <v>Zweden</v>
      </c>
      <c r="BF93" s="41" t="s">
        <v>713</v>
      </c>
      <c r="BG93" s="152"/>
      <c r="BH93"/>
    </row>
    <row r="94" spans="1:60" s="90" customFormat="1" ht="14.25" customHeight="1" thickBot="1" x14ac:dyDescent="0.25">
      <c r="A94" s="127">
        <v>45</v>
      </c>
      <c r="B94" s="143" t="s">
        <v>484</v>
      </c>
      <c r="C94" s="142">
        <v>0.91666666666666663</v>
      </c>
      <c r="D94" s="60" t="str">
        <f>D92</f>
        <v>Engeland</v>
      </c>
      <c r="E94" s="61" t="s">
        <v>5</v>
      </c>
      <c r="F94" s="60" t="str">
        <f>D93</f>
        <v>Ghana</v>
      </c>
      <c r="G94" s="17"/>
      <c r="H94" s="79" t="s">
        <v>5</v>
      </c>
      <c r="I94" s="17"/>
      <c r="J94" s="19">
        <f t="shared" si="108"/>
        <v>0</v>
      </c>
      <c r="K94" s="68"/>
      <c r="L94" s="156"/>
      <c r="M94" s="73" t="str">
        <f>Groepsloting!$B$232</f>
        <v>Lever het formulier in vóór donderdag 11 juni 2026 20:00 uur bij Bas of Bastiaan, anders geen deelname.</v>
      </c>
      <c r="N94" s="74"/>
      <c r="O94" s="74"/>
      <c r="P94" s="74"/>
      <c r="Q94" s="74"/>
      <c r="R94" s="74"/>
      <c r="S94" s="74"/>
      <c r="T94" s="74"/>
      <c r="U94" s="74"/>
      <c r="V94" s="75"/>
      <c r="W94" s="69"/>
      <c r="X94" s="66"/>
      <c r="Y94" s="4"/>
      <c r="Z94" s="4"/>
      <c r="AA94" s="4"/>
      <c r="AB94" s="4"/>
      <c r="AC94" s="4"/>
      <c r="AD94" s="4"/>
      <c r="AE94" s="4"/>
      <c r="AF94" s="4"/>
      <c r="AG94" s="92"/>
      <c r="AH94" s="92" t="str">
        <f>IF(Inschrijving!G94="","",Inschrijving!D94)</f>
        <v/>
      </c>
      <c r="AI94" s="92" t="str">
        <f>IF(Inschrijving!G94="","",IF(Inschrijving!G94&gt;Inschrijving!I94,1,0))</f>
        <v/>
      </c>
      <c r="AJ94" s="92" t="str">
        <f>IF(Inschrijving!G94="","",IF(Inschrijving!G94&lt;Inschrijving!I94,1,0))</f>
        <v/>
      </c>
      <c r="AK94" s="92" t="str">
        <f>IF(Inschrijving!G94="","",IF(Inschrijving!G94=Inschrijving!I94,1,0))</f>
        <v/>
      </c>
      <c r="AL94" s="92" t="str">
        <f>IF(Inschrijving!I94="","",Inschrijving!F94)</f>
        <v/>
      </c>
      <c r="AM94"/>
      <c r="AN94" s="4" t="str">
        <f>AP90&amp;AO94</f>
        <v>L3</v>
      </c>
      <c r="AO94" s="94">
        <f>RANK(AZ94,$AZ$91:$AZ$94,1)</f>
        <v>3</v>
      </c>
      <c r="AP94" s="94" t="str">
        <f>Groepsloting!B71</f>
        <v>Panama</v>
      </c>
      <c r="AQ94" s="95">
        <f>COUNTIF(AH$2:AH$98,AP94)+COUNTIF(AL$2:AL$98,AP94)</f>
        <v>0</v>
      </c>
      <c r="AR94" s="95">
        <f>AV94*3+AW94</f>
        <v>0</v>
      </c>
      <c r="AS94" s="95">
        <f t="shared" si="109"/>
        <v>0</v>
      </c>
      <c r="AT94" s="95">
        <f t="shared" si="110"/>
        <v>0</v>
      </c>
      <c r="AU94" s="95">
        <f>AS94-AT94</f>
        <v>0</v>
      </c>
      <c r="AV94" s="95">
        <f>SUMIF(AH$2:AH$98,AP94,AI$2:AI$98)+SUMIF(AL$2:AL$98,AP94,AJ$2:AJ$98)</f>
        <v>0</v>
      </c>
      <c r="AW94" s="95">
        <f>SUMIF(AH$2:AH$98,AP94,AK$2:AK$98)+SUMIF(AL$2:AL$98,AP94,AK$2:AK$98)</f>
        <v>0</v>
      </c>
      <c r="AX94" s="95">
        <f>AQ94-SUM(AV94:AW94)</f>
        <v>0</v>
      </c>
      <c r="AY94" s="95"/>
      <c r="AZ94" s="94">
        <f t="shared" si="111"/>
        <v>1.1153000000000002</v>
      </c>
      <c r="BA94" s="151"/>
      <c r="BB94"/>
      <c r="BC94" s="94"/>
      <c r="BD94" s="94"/>
      <c r="BE94"/>
      <c r="BF94" s="152" t="str">
        <f t="shared" ref="BF94:BF97" si="112">BE9</f>
        <v>Canada</v>
      </c>
      <c r="BG94" s="152"/>
      <c r="BH94"/>
    </row>
    <row r="95" spans="1:60" s="90" customFormat="1" ht="14.25" customHeight="1" x14ac:dyDescent="0.2">
      <c r="A95" s="127">
        <v>46</v>
      </c>
      <c r="B95" s="143" t="s">
        <v>474</v>
      </c>
      <c r="C95" s="142">
        <v>4.1666666666666664E-2</v>
      </c>
      <c r="D95" s="60" t="str">
        <f>F93</f>
        <v>Panama</v>
      </c>
      <c r="E95" s="61" t="s">
        <v>5</v>
      </c>
      <c r="F95" s="60" t="str">
        <f>F92</f>
        <v>Kroatië</v>
      </c>
      <c r="G95" s="17"/>
      <c r="H95" s="79" t="s">
        <v>5</v>
      </c>
      <c r="I95" s="17"/>
      <c r="J95" s="19">
        <f t="shared" si="108"/>
        <v>0</v>
      </c>
      <c r="K95" s="68"/>
      <c r="L95" s="156"/>
      <c r="M95" s="173"/>
      <c r="N95" s="174"/>
      <c r="O95" s="174"/>
      <c r="P95" s="174"/>
      <c r="Q95" s="174"/>
      <c r="R95" s="174"/>
      <c r="S95" s="174"/>
      <c r="T95" s="174"/>
      <c r="U95" s="174"/>
      <c r="V95" s="174"/>
      <c r="W95" s="69"/>
      <c r="X95" s="66"/>
      <c r="Y95" s="4"/>
      <c r="Z95" s="4"/>
      <c r="AA95" s="4"/>
      <c r="AB95" s="4"/>
      <c r="AC95" s="4"/>
      <c r="AD95" s="4"/>
      <c r="AE95" s="4"/>
      <c r="AF95" s="4"/>
      <c r="AG95" s="92"/>
      <c r="AH95" s="92" t="str">
        <f>IF(Inschrijving!G95="","",Inschrijving!D95)</f>
        <v/>
      </c>
      <c r="AI95" s="92" t="str">
        <f>IF(Inschrijving!G95="","",IF(Inschrijving!G95&gt;Inschrijving!I95,1,0))</f>
        <v/>
      </c>
      <c r="AJ95" s="92" t="str">
        <f>IF(Inschrijving!G95="","",IF(Inschrijving!G95&lt;Inschrijving!I95,1,0))</f>
        <v/>
      </c>
      <c r="AK95" s="92" t="str">
        <f>IF(Inschrijving!G95="","",IF(Inschrijving!G95=Inschrijving!I95,1,0))</f>
        <v/>
      </c>
      <c r="AL95" s="92" t="str">
        <f>IF(Inschrijving!I95="","",Inschrijving!F95)</f>
        <v/>
      </c>
      <c r="AM95"/>
      <c r="AN95"/>
      <c r="AO95"/>
      <c r="AP95" s="150" t="s">
        <v>69</v>
      </c>
      <c r="AQ95" s="150"/>
      <c r="AR95" s="150" t="s">
        <v>72</v>
      </c>
      <c r="AS95" s="150" t="s">
        <v>70</v>
      </c>
      <c r="AT95" s="150" t="s">
        <v>71</v>
      </c>
      <c r="AU95" s="150"/>
      <c r="AV95" s="150"/>
      <c r="AW95" s="150"/>
      <c r="AX95" s="150"/>
      <c r="AY95" s="150"/>
      <c r="AZ95" s="150"/>
      <c r="BA95"/>
      <c r="BB95"/>
      <c r="BC95"/>
      <c r="BD95" s="150"/>
      <c r="BE95" s="91" t="s">
        <v>683</v>
      </c>
      <c r="BF95" s="152" t="str">
        <f t="shared" si="112"/>
        <v>Qatar</v>
      </c>
      <c r="BG95" s="152"/>
    </row>
    <row r="96" spans="1:60" s="90" customFormat="1" ht="14.25" customHeight="1" x14ac:dyDescent="0.2">
      <c r="A96" s="127">
        <v>67</v>
      </c>
      <c r="B96" s="143" t="s">
        <v>482</v>
      </c>
      <c r="C96" s="142">
        <v>0.95833333333333337</v>
      </c>
      <c r="D96" s="60" t="str">
        <f>F93</f>
        <v>Panama</v>
      </c>
      <c r="E96" s="61" t="s">
        <v>5</v>
      </c>
      <c r="F96" s="60" t="str">
        <f>D92</f>
        <v>Engeland</v>
      </c>
      <c r="G96" s="17"/>
      <c r="H96" s="79" t="s">
        <v>5</v>
      </c>
      <c r="I96" s="17"/>
      <c r="J96" s="19">
        <f t="shared" si="108"/>
        <v>0</v>
      </c>
      <c r="K96" s="68"/>
      <c r="L96" s="156"/>
      <c r="W96" s="175"/>
      <c r="X96" s="66"/>
      <c r="Y96" s="4"/>
      <c r="Z96" s="4"/>
      <c r="AA96" s="4"/>
      <c r="AB96" s="4"/>
      <c r="AC96" s="4"/>
      <c r="AD96" s="4"/>
      <c r="AE96" s="4"/>
      <c r="AF96" s="4"/>
      <c r="AG96" s="92"/>
      <c r="AH96" s="92" t="str">
        <f>IF(Inschrijving!G96="","",Inschrijving!D96)</f>
        <v/>
      </c>
      <c r="AI96" s="92" t="str">
        <f>IF(Inschrijving!G96="","",IF(Inschrijving!G96&gt;Inschrijving!I96,1,0))</f>
        <v/>
      </c>
      <c r="AJ96" s="92" t="str">
        <f>IF(Inschrijving!G96="","",IF(Inschrijving!G96&lt;Inschrijving!I96,1,0))</f>
        <v/>
      </c>
      <c r="AK96" s="92" t="str">
        <f>IF(Inschrijving!G96="","",IF(Inschrijving!G96=Inschrijving!I96,1,0))</f>
        <v/>
      </c>
      <c r="AL96" s="92" t="str">
        <f>IF(Inschrijving!I96="","",Inschrijving!F96)</f>
        <v/>
      </c>
      <c r="AM96"/>
      <c r="AN96"/>
      <c r="AO96"/>
      <c r="AP96"/>
      <c r="AQ96"/>
      <c r="AR96" t="s">
        <v>431</v>
      </c>
      <c r="AS96" t="s">
        <v>433</v>
      </c>
      <c r="AT96"/>
      <c r="AU96" t="s">
        <v>432</v>
      </c>
      <c r="AV96" t="s">
        <v>434</v>
      </c>
      <c r="AW96"/>
      <c r="AX96"/>
      <c r="AY96"/>
      <c r="AZ96"/>
      <c r="BB96"/>
      <c r="BC96"/>
      <c r="BD96"/>
      <c r="BE96" t="str">
        <f t="shared" ref="BE96:BE99" si="113">BE21</f>
        <v>Verenigde Staten</v>
      </c>
      <c r="BF96" s="100" t="str">
        <f t="shared" si="112"/>
        <v>Zwitserland</v>
      </c>
      <c r="BG96" s="152"/>
    </row>
    <row r="97" spans="1:59" s="90" customFormat="1" ht="14.25" customHeight="1" x14ac:dyDescent="0.2">
      <c r="A97" s="127">
        <v>68</v>
      </c>
      <c r="B97" s="143" t="s">
        <v>482</v>
      </c>
      <c r="C97" s="142">
        <v>0.95833333333333337</v>
      </c>
      <c r="D97" s="60" t="str">
        <f>F92</f>
        <v>Kroatië</v>
      </c>
      <c r="E97" s="61" t="s">
        <v>5</v>
      </c>
      <c r="F97" s="60" t="str">
        <f>D93</f>
        <v>Ghana</v>
      </c>
      <c r="G97" s="17"/>
      <c r="H97" s="79" t="s">
        <v>5</v>
      </c>
      <c r="I97" s="17"/>
      <c r="J97" s="19">
        <f t="shared" si="108"/>
        <v>0</v>
      </c>
      <c r="K97" s="68"/>
      <c r="L97" s="156"/>
      <c r="W97" s="175"/>
      <c r="X97" s="66"/>
      <c r="Y97" s="4"/>
      <c r="Z97" s="4"/>
      <c r="AA97" s="4"/>
      <c r="AB97" s="4"/>
      <c r="AC97" s="4"/>
      <c r="AD97" s="4"/>
      <c r="AE97" s="4"/>
      <c r="AF97" s="4"/>
      <c r="AG97" s="92"/>
      <c r="AH97" s="92" t="str">
        <f>IF(Inschrijving!G97="","",Inschrijving!D97)</f>
        <v/>
      </c>
      <c r="AI97" s="92" t="str">
        <f>IF(Inschrijving!G97="","",IF(Inschrijving!G97&gt;Inschrijving!I97,1,0))</f>
        <v/>
      </c>
      <c r="AJ97" s="92" t="str">
        <f>IF(Inschrijving!G97="","",IF(Inschrijving!G97&lt;Inschrijving!I97,1,0))</f>
        <v/>
      </c>
      <c r="AK97" s="92" t="str">
        <f>IF(Inschrijving!G97="","",IF(Inschrijving!G97=Inschrijving!I97,1,0))</f>
        <v/>
      </c>
      <c r="AL97" s="92" t="str">
        <f>IF(Inschrijving!I97="","",Inschrijving!F97)</f>
        <v/>
      </c>
      <c r="AM97"/>
      <c r="AN97" s="92" t="s">
        <v>531</v>
      </c>
      <c r="AO97" s="138" t="s">
        <v>532</v>
      </c>
      <c r="AP97" s="138"/>
      <c r="AQ97" s="136" t="s">
        <v>61</v>
      </c>
      <c r="AR97" s="136" t="s">
        <v>68</v>
      </c>
      <c r="AS97" s="136" t="s">
        <v>65</v>
      </c>
      <c r="AT97" s="136" t="s">
        <v>66</v>
      </c>
      <c r="AU97" s="136" t="s">
        <v>67</v>
      </c>
      <c r="AV97" s="136" t="s">
        <v>62</v>
      </c>
      <c r="AW97" s="136" t="s">
        <v>63</v>
      </c>
      <c r="AX97" s="136" t="s">
        <v>64</v>
      </c>
      <c r="AY97" s="136" t="s">
        <v>533</v>
      </c>
      <c r="AZ97" s="137" t="s">
        <v>77</v>
      </c>
      <c r="BA97" s="228" t="s">
        <v>741</v>
      </c>
      <c r="BE97" t="str">
        <f t="shared" si="113"/>
        <v>Paraguay</v>
      </c>
      <c r="BF97" s="152" t="str">
        <f t="shared" si="112"/>
        <v>Bosnië-Herzegovina</v>
      </c>
      <c r="BG97" s="152"/>
    </row>
    <row r="98" spans="1:59" s="90" customFormat="1" ht="14.25" customHeight="1" x14ac:dyDescent="0.2">
      <c r="A98" s="127"/>
      <c r="B98" s="178"/>
      <c r="C98" s="179"/>
      <c r="D98" s="20"/>
      <c r="E98" s="20"/>
      <c r="F98" s="20"/>
      <c r="G98" s="20"/>
      <c r="H98" s="181"/>
      <c r="I98" s="20"/>
      <c r="J98" s="182"/>
      <c r="K98" s="68"/>
      <c r="L98" s="156"/>
      <c r="W98" s="175"/>
      <c r="X98" s="66"/>
      <c r="Y98" s="4"/>
      <c r="Z98" s="4"/>
      <c r="AA98" s="4"/>
      <c r="AB98" s="4"/>
      <c r="AC98" s="4"/>
      <c r="AD98" s="4"/>
      <c r="AE98" s="4"/>
      <c r="AF98" s="4"/>
      <c r="AG98" s="92"/>
      <c r="AH98" s="92"/>
      <c r="AI98" s="92"/>
      <c r="AJ98" s="92"/>
      <c r="AK98" s="92"/>
      <c r="AL98" s="92"/>
      <c r="AM98"/>
      <c r="AN98" s="146" t="s">
        <v>530</v>
      </c>
      <c r="AO98" s="94">
        <f t="shared" ref="AO98:AO109" si="114">RANK(BA98,$BA$98:$BA$109,1)</f>
        <v>8</v>
      </c>
      <c r="AP98" s="138" t="str">
        <f>VLOOKUP(3,$AO$3:$BB$6,2,0)</f>
        <v>Tsjechië</v>
      </c>
      <c r="AQ98" s="138">
        <f>VLOOKUP(3,$AO$3:$BB$6,3,0)</f>
        <v>0</v>
      </c>
      <c r="AR98" s="138">
        <f>VLOOKUP(3,$AO$3:$BB$6,4,0)</f>
        <v>0</v>
      </c>
      <c r="AS98" s="138">
        <f>VLOOKUP(3,$AO$3:$BB$6,5,0)</f>
        <v>0</v>
      </c>
      <c r="AT98" s="138">
        <f>VLOOKUP(3,$AO$3:$BB$6,6,0)</f>
        <v>0</v>
      </c>
      <c r="AU98" s="138">
        <f>VLOOKUP(3,$AO$3:$BB$6,7,0)</f>
        <v>0</v>
      </c>
      <c r="AV98" s="138">
        <f>VLOOKUP(3,$AO$3:$BB$6,8,0)</f>
        <v>0</v>
      </c>
      <c r="AW98" s="138">
        <f>VLOOKUP(3,$AO$3:$BB$6,9,0)</f>
        <v>0</v>
      </c>
      <c r="AX98" s="138">
        <f>VLOOKUP(3,$AO$3:$BB$6,10,0)</f>
        <v>0</v>
      </c>
      <c r="AY98" s="138">
        <f>VLOOKUP(3,$AO$3:$BB$6,11,0)</f>
        <v>0</v>
      </c>
      <c r="AZ98" s="138">
        <f>VLOOKUP(3,$AO$3:$BB$6,12,0)</f>
        <v>1.1161000000000001</v>
      </c>
      <c r="BA98" s="137">
        <f t="shared" ref="BA98:BA109" si="115">RANK(AR98,$AR$98:$AR$109)+RANK(AU98,$AU$98:$AU$109)/10+RANK(AS98,$AS$98:$AS$109,0)/100+RANK(AQ98,$AQ$98:$AQ$109,1)/500+VLOOKUP(AP98,$BF$3:$BG$50,2,0)/10000</f>
        <v>1.1161000000000001</v>
      </c>
      <c r="BB98"/>
      <c r="BC98" s="94"/>
      <c r="BD98"/>
      <c r="BE98" t="str">
        <f t="shared" si="113"/>
        <v>Australië</v>
      </c>
      <c r="BF98" s="100" t="str">
        <f t="shared" ref="BF98:BF101" si="116">BE15</f>
        <v>Brazilië</v>
      </c>
      <c r="BG98" s="152"/>
    </row>
    <row r="99" spans="1:59" s="90" customFormat="1" ht="14.25" customHeight="1" x14ac:dyDescent="0.2">
      <c r="A99" s="127"/>
      <c r="B99" s="185" t="str">
        <f>Groepsloting!$B$123</f>
        <v>Zestiende finales</v>
      </c>
      <c r="C99" s="186"/>
      <c r="D99" s="20"/>
      <c r="E99" s="20"/>
      <c r="F99" s="20"/>
      <c r="G99" s="20"/>
      <c r="H99" s="181"/>
      <c r="I99" s="20"/>
      <c r="J99" s="182"/>
      <c r="K99" s="68"/>
      <c r="L99" s="156"/>
      <c r="W99" s="175"/>
      <c r="X99" s="66"/>
      <c r="Y99" s="4"/>
      <c r="Z99" s="4"/>
      <c r="AA99" s="4"/>
      <c r="AB99" s="4"/>
      <c r="AC99" s="4"/>
      <c r="AD99" s="4"/>
      <c r="AE99" s="4"/>
      <c r="AF99" s="4"/>
      <c r="AG99"/>
      <c r="AH99"/>
      <c r="AI99"/>
      <c r="AJ99"/>
      <c r="AK99"/>
      <c r="AL99"/>
      <c r="AM99"/>
      <c r="AN99" s="146" t="s">
        <v>529</v>
      </c>
      <c r="AO99" s="137">
        <f t="shared" si="114"/>
        <v>11</v>
      </c>
      <c r="AP99" s="138" t="str">
        <f>VLOOKUP(3,$AO$11:$BB$14,2,0)</f>
        <v>Qatar</v>
      </c>
      <c r="AQ99" s="138">
        <f>VLOOKUP(3,$AO$11:$BB$14,3,0)</f>
        <v>0</v>
      </c>
      <c r="AR99" s="138">
        <f>VLOOKUP(3,$AO$11:$BB$14,4,0)</f>
        <v>0</v>
      </c>
      <c r="AS99" s="138">
        <f>VLOOKUP(3,$AO$11:$BB$14,5,0)</f>
        <v>0</v>
      </c>
      <c r="AT99" s="138">
        <f>VLOOKUP(3,$AO$11:$BB$14,6,0)</f>
        <v>0</v>
      </c>
      <c r="AU99" s="138">
        <f>VLOOKUP(3,$AO$11:$BB$14,7,0)</f>
        <v>0</v>
      </c>
      <c r="AV99" s="138">
        <f>VLOOKUP(3,$AO$11:$BB$14,8,0)</f>
        <v>0</v>
      </c>
      <c r="AW99" s="138">
        <f>VLOOKUP(3,$AO$11:$BB$14,9,0)</f>
        <v>0</v>
      </c>
      <c r="AX99" s="138">
        <f>VLOOKUP(3,$AO$11:$BB$14,10,0)</f>
        <v>0</v>
      </c>
      <c r="AY99" s="138">
        <f>VLOOKUP(3,$AO$11:$BB$14,11,0)</f>
        <v>0</v>
      </c>
      <c r="AZ99" s="138">
        <f>VLOOKUP(3,$AO$11:$BB$14,12,0)</f>
        <v>1.1175000000000002</v>
      </c>
      <c r="BA99" s="137">
        <f t="shared" si="115"/>
        <v>1.1175000000000002</v>
      </c>
      <c r="BB99"/>
      <c r="BC99" s="94"/>
      <c r="BD99"/>
      <c r="BE99" t="str">
        <f t="shared" si="113"/>
        <v>Turkije</v>
      </c>
      <c r="BF99" s="100" t="str">
        <f t="shared" si="116"/>
        <v>Marokko</v>
      </c>
      <c r="BG99" s="152"/>
    </row>
    <row r="100" spans="1:59" s="90" customFormat="1" ht="14.25" customHeight="1" x14ac:dyDescent="0.2">
      <c r="A100" s="127"/>
      <c r="B100" s="62" t="str">
        <f>Groepsloting!$B$122</f>
        <v>Datum</v>
      </c>
      <c r="C100" s="131"/>
      <c r="D100" s="58" t="str">
        <f>Groepsloting!$B$119</f>
        <v>Wedstrijd</v>
      </c>
      <c r="E100" s="59"/>
      <c r="F100" s="58"/>
      <c r="G100" s="58"/>
      <c r="H100" s="192" t="str">
        <f>Groepsloting!$B$120</f>
        <v>Uitslag</v>
      </c>
      <c r="I100" s="58"/>
      <c r="J100" s="64" t="str">
        <f>Groepsloting!$B$121</f>
        <v>Toto</v>
      </c>
      <c r="K100" s="68"/>
      <c r="L100" s="156"/>
      <c r="W100" s="175"/>
      <c r="X100" s="66"/>
      <c r="Y100" s="4"/>
      <c r="Z100" s="4"/>
      <c r="AA100" s="4"/>
      <c r="AB100" s="4"/>
      <c r="AC100" s="4"/>
      <c r="AD100" s="4"/>
      <c r="AE100" s="4"/>
      <c r="AF100" s="4"/>
      <c r="AG100"/>
      <c r="AH100"/>
      <c r="AI100"/>
      <c r="AJ100"/>
      <c r="AK100"/>
      <c r="AL100"/>
      <c r="AM100"/>
      <c r="AN100" s="146" t="s">
        <v>528</v>
      </c>
      <c r="AO100" s="137">
        <f t="shared" si="114"/>
        <v>9</v>
      </c>
      <c r="AP100" s="138" t="str">
        <f>VLOOKUP(3,$AO$19:$BB$22,2,0)</f>
        <v>Schotland</v>
      </c>
      <c r="AQ100" s="138">
        <f>VLOOKUP(3,$AO$19:$BB$22,3,0)</f>
        <v>0</v>
      </c>
      <c r="AR100" s="138">
        <f>VLOOKUP(3,$AO$19:$BB$22,4,0)</f>
        <v>0</v>
      </c>
      <c r="AS100" s="138">
        <f>VLOOKUP(3,$AO$19:$BB$22,5,0)</f>
        <v>0</v>
      </c>
      <c r="AT100" s="138">
        <f>VLOOKUP(3,$AO$19:$BB$22,6,0)</f>
        <v>0</v>
      </c>
      <c r="AU100" s="138">
        <f>VLOOKUP(3,$AO$19:$BB$22,7,0)</f>
        <v>0</v>
      </c>
      <c r="AV100" s="138">
        <f>VLOOKUP(3,$AO$19:$BB$22,8,0)</f>
        <v>0</v>
      </c>
      <c r="AW100" s="138">
        <f>VLOOKUP(3,$AO$19:$BB$22,9,0)</f>
        <v>0</v>
      </c>
      <c r="AX100" s="138">
        <f>VLOOKUP(3,$AO$19:$BB$22,10,0)</f>
        <v>0</v>
      </c>
      <c r="AY100" s="138">
        <f>VLOOKUP(3,$AO$19:$BB$22,11,0)</f>
        <v>0</v>
      </c>
      <c r="AZ100" s="138">
        <f>VLOOKUP(3,$AO$19:$BB$22,12,0)</f>
        <v>1.1163000000000001</v>
      </c>
      <c r="BA100" s="137">
        <f t="shared" si="115"/>
        <v>1.1163000000000001</v>
      </c>
      <c r="BB100"/>
      <c r="BC100" s="94"/>
      <c r="BD100"/>
      <c r="BE100" t="str">
        <f t="shared" ref="BE100:BE103" si="117">BE39</f>
        <v>België</v>
      </c>
      <c r="BF100" s="100" t="str">
        <f t="shared" si="116"/>
        <v>Haïti</v>
      </c>
      <c r="BG100" s="152"/>
    </row>
    <row r="101" spans="1:59" s="90" customFormat="1" ht="14.25" customHeight="1" x14ac:dyDescent="0.2">
      <c r="A101" s="127">
        <v>73</v>
      </c>
      <c r="B101" s="144" t="s">
        <v>485</v>
      </c>
      <c r="C101" s="142">
        <v>0.875</v>
      </c>
      <c r="D101" s="48" t="str">
        <f>IF(AA4=3,Z4,Groepsloting!B77)</f>
        <v>2e poule A</v>
      </c>
      <c r="E101" s="89" t="s">
        <v>5</v>
      </c>
      <c r="F101" s="49" t="str">
        <f>IF(AA10=3,Z10,Groepsloting!B80)</f>
        <v>2e poule B</v>
      </c>
      <c r="G101" s="17"/>
      <c r="H101" s="79" t="s">
        <v>5</v>
      </c>
      <c r="I101" s="17"/>
      <c r="J101" s="19">
        <f t="shared" ref="J101:J108" si="118">IF(AND(G101="",I101=""),0,IF(G101&gt;I101,1,IF(G101&lt;I101,2,3)))</f>
        <v>0</v>
      </c>
      <c r="K101" s="80" t="s">
        <v>486</v>
      </c>
      <c r="L101" s="176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69"/>
      <c r="X101" s="66"/>
      <c r="Y101" s="4"/>
      <c r="Z101" s="4"/>
      <c r="AA101" s="4"/>
      <c r="AB101" s="4"/>
      <c r="AC101" s="4"/>
      <c r="AD101" s="4"/>
      <c r="AE101" s="4"/>
      <c r="AF101" s="4"/>
      <c r="AG101"/>
      <c r="AH101"/>
      <c r="AI101"/>
      <c r="AJ101"/>
      <c r="AK101"/>
      <c r="AL101"/>
      <c r="AM101"/>
      <c r="AN101" s="146" t="s">
        <v>527</v>
      </c>
      <c r="AO101" s="137">
        <f t="shared" si="114"/>
        <v>1</v>
      </c>
      <c r="AP101" s="138" t="str">
        <f>VLOOKUP(3,$AO$27:$BB$30,2,0)</f>
        <v>Australië</v>
      </c>
      <c r="AQ101" s="138">
        <f>VLOOKUP(3,$AO$27:$BB$30,3,0)</f>
        <v>0</v>
      </c>
      <c r="AR101" s="138">
        <f>VLOOKUP(3,$AO$27:$BB$30,4,0)</f>
        <v>0</v>
      </c>
      <c r="AS101" s="138">
        <f>VLOOKUP(3,$AO$27:$BB$30,5,0)</f>
        <v>0</v>
      </c>
      <c r="AT101" s="138">
        <f>VLOOKUP(3,$AO$27:$BB$30,6,0)</f>
        <v>0</v>
      </c>
      <c r="AU101" s="138">
        <f>VLOOKUP(3,$AO$27:$BB$30,7,0)</f>
        <v>0</v>
      </c>
      <c r="AV101" s="138">
        <f>VLOOKUP(3,$AO$27:$BB$30,8,0)</f>
        <v>0</v>
      </c>
      <c r="AW101" s="138">
        <f>VLOOKUP(3,$AO$27:$BB$30,9,0)</f>
        <v>0</v>
      </c>
      <c r="AX101" s="138">
        <f>VLOOKUP(3,$AO$27:$BB$30,10,0)</f>
        <v>0</v>
      </c>
      <c r="AY101" s="138">
        <f>VLOOKUP(3,$AO$27:$BB$30,11,0)</f>
        <v>0</v>
      </c>
      <c r="AZ101" s="138">
        <f>VLOOKUP(3,$AO$27:$BB$30,12,0)</f>
        <v>1.1147</v>
      </c>
      <c r="BA101" s="137">
        <f t="shared" si="115"/>
        <v>1.1147</v>
      </c>
      <c r="BB101"/>
      <c r="BC101" s="94"/>
      <c r="BD101"/>
      <c r="BE101" t="str">
        <f t="shared" si="117"/>
        <v>Egypte</v>
      </c>
      <c r="BF101" s="100" t="str">
        <f t="shared" si="116"/>
        <v>Schotland</v>
      </c>
      <c r="BG101" s="152"/>
    </row>
    <row r="102" spans="1:59" s="90" customFormat="1" ht="14.25" customHeight="1" x14ac:dyDescent="0.2">
      <c r="A102" s="127">
        <v>76</v>
      </c>
      <c r="B102" s="144" t="s">
        <v>504</v>
      </c>
      <c r="C102" s="142">
        <v>0.79166666666666663</v>
      </c>
      <c r="D102" s="48" t="str">
        <f>IF(AA15=3,Z15,Groepsloting!B82)</f>
        <v>1e poule C</v>
      </c>
      <c r="E102" s="89" t="s">
        <v>5</v>
      </c>
      <c r="F102" s="49" t="str">
        <f>IF(AA34=3,Z34,Groepsloting!B92)</f>
        <v>2e poule F</v>
      </c>
      <c r="G102" s="17"/>
      <c r="H102" s="79" t="s">
        <v>5</v>
      </c>
      <c r="I102" s="17"/>
      <c r="J102" s="19">
        <f>IF(AND(G102="",I102=""),0,IF(G102&gt;I102,1,IF(G102&lt;I102,2,3)))</f>
        <v>0</v>
      </c>
      <c r="K102" s="80" t="s">
        <v>487</v>
      </c>
      <c r="L102" s="157"/>
      <c r="M102"/>
      <c r="N102"/>
      <c r="O102"/>
      <c r="P102"/>
      <c r="Q102"/>
      <c r="R102"/>
      <c r="S102"/>
      <c r="T102"/>
      <c r="U102"/>
      <c r="V102"/>
      <c r="W102" s="177"/>
      <c r="X102" s="66"/>
      <c r="Y102" s="4"/>
      <c r="Z102" s="4"/>
      <c r="AA102" s="4"/>
      <c r="AB102" s="4"/>
      <c r="AC102" s="4"/>
      <c r="AD102" s="4"/>
      <c r="AE102" s="4"/>
      <c r="AF102" s="4"/>
      <c r="AG102"/>
      <c r="AH102"/>
      <c r="AI102"/>
      <c r="AJ102"/>
      <c r="AK102"/>
      <c r="AL102"/>
      <c r="AM102"/>
      <c r="AN102" s="146" t="s">
        <v>519</v>
      </c>
      <c r="AO102" s="137">
        <f t="shared" si="114"/>
        <v>6</v>
      </c>
      <c r="AP102" s="138" t="str">
        <f>VLOOKUP(3,$AO$35:$BB$38,2,0)</f>
        <v>Ivoorkust</v>
      </c>
      <c r="AQ102" s="138">
        <f>VLOOKUP(3,$AO$35:$BB$38,3,0)</f>
        <v>0</v>
      </c>
      <c r="AR102" s="138">
        <f>VLOOKUP(3,$AO$35:$BB$38,4,0)</f>
        <v>0</v>
      </c>
      <c r="AS102" s="138">
        <f>VLOOKUP(3,$AO$35:$BB$38,5,0)</f>
        <v>0</v>
      </c>
      <c r="AT102" s="138">
        <f>VLOOKUP(3,$AO$35:$BB$38,6,0)</f>
        <v>0</v>
      </c>
      <c r="AU102" s="138">
        <f>VLOOKUP(3,$AO$35:$BB$38,7,0)</f>
        <v>0</v>
      </c>
      <c r="AV102" s="138">
        <f>VLOOKUP(3,$AO$35:$BB$38,8,0)</f>
        <v>0</v>
      </c>
      <c r="AW102" s="138">
        <f>VLOOKUP(3,$AO$35:$BB$38,9,0)</f>
        <v>0</v>
      </c>
      <c r="AX102" s="138">
        <f>VLOOKUP(3,$AO$35:$BB$38,10,0)</f>
        <v>0</v>
      </c>
      <c r="AY102" s="138">
        <f>VLOOKUP(3,$AO$35:$BB$38,11,0)</f>
        <v>0</v>
      </c>
      <c r="AZ102" s="138">
        <f>VLOOKUP(3,$AO$35:$BB$38,12,0)</f>
        <v>1.1154000000000002</v>
      </c>
      <c r="BA102" s="137">
        <f t="shared" si="115"/>
        <v>1.1154000000000002</v>
      </c>
      <c r="BB102"/>
      <c r="BC102" s="94"/>
      <c r="BD102"/>
      <c r="BE102" t="str">
        <f t="shared" si="117"/>
        <v>Iran</v>
      </c>
      <c r="BF102" s="152" t="str">
        <f t="shared" ref="BF102:BF105" si="119">BE21</f>
        <v>Verenigde Staten</v>
      </c>
      <c r="BG102" s="152"/>
    </row>
    <row r="103" spans="1:59" s="90" customFormat="1" ht="14.25" customHeight="1" x14ac:dyDescent="0.2">
      <c r="A103" s="127">
        <v>74</v>
      </c>
      <c r="B103" s="144" t="s">
        <v>504</v>
      </c>
      <c r="C103" s="142">
        <v>0.9375</v>
      </c>
      <c r="D103" s="48" t="str">
        <f>IF(AA27=3,Z27,Groepsloting!B88)</f>
        <v>1e poule E</v>
      </c>
      <c r="E103" s="89" t="s">
        <v>5</v>
      </c>
      <c r="F103" s="49" t="str">
        <f>IF(MIN($AQ$98:$AQ$109)=3,$BC$118,"3e Poule ABCDF")</f>
        <v>3e Poule ABCDF</v>
      </c>
      <c r="G103" s="17"/>
      <c r="H103" s="79" t="s">
        <v>5</v>
      </c>
      <c r="I103" s="17"/>
      <c r="J103" s="19">
        <f>IF(AND(G103="",I103=""),0,IF(G103&gt;I103,1,IF(G103&lt;I103,2,3)))</f>
        <v>0</v>
      </c>
      <c r="K103" s="80" t="s">
        <v>488</v>
      </c>
      <c r="L103" s="157"/>
      <c r="M103"/>
      <c r="N103"/>
      <c r="O103"/>
      <c r="P103"/>
      <c r="Q103"/>
      <c r="R103"/>
      <c r="S103"/>
      <c r="T103"/>
      <c r="U103"/>
      <c r="V103"/>
      <c r="W103" s="177"/>
      <c r="X103" s="66"/>
      <c r="Y103" s="4"/>
      <c r="Z103" s="4"/>
      <c r="AA103" s="4"/>
      <c r="AB103" s="4"/>
      <c r="AC103" s="4"/>
      <c r="AD103" s="4"/>
      <c r="AE103" s="4"/>
      <c r="AF103" s="4"/>
      <c r="AG103"/>
      <c r="AH103"/>
      <c r="AI103"/>
      <c r="AJ103"/>
      <c r="AK103"/>
      <c r="AL103"/>
      <c r="AM103"/>
      <c r="AN103" s="146" t="s">
        <v>522</v>
      </c>
      <c r="AO103" s="137">
        <f t="shared" si="114"/>
        <v>7</v>
      </c>
      <c r="AP103" s="138" t="str">
        <f>VLOOKUP(3,$AO$43:$BB$46,2,0)</f>
        <v>Zweden</v>
      </c>
      <c r="AQ103" s="138">
        <f>VLOOKUP(3,$AO$43:$BB$46,3,0)</f>
        <v>0</v>
      </c>
      <c r="AR103" s="138">
        <f>VLOOKUP(3,$AO$43:$BB$46,4,0)</f>
        <v>0</v>
      </c>
      <c r="AS103" s="138">
        <f>VLOOKUP(3,$AO$43:$BB$46,5,0)</f>
        <v>0</v>
      </c>
      <c r="AT103" s="138">
        <f>VLOOKUP(3,$AO$43:$BB$46,6,0)</f>
        <v>0</v>
      </c>
      <c r="AU103" s="138">
        <f>VLOOKUP(3,$AO$43:$BB$46,7,0)</f>
        <v>0</v>
      </c>
      <c r="AV103" s="138">
        <f>VLOOKUP(3,$AO$43:$BB$46,8,0)</f>
        <v>0</v>
      </c>
      <c r="AW103" s="138">
        <f>VLOOKUP(3,$AO$43:$BB$46,9,0)</f>
        <v>0</v>
      </c>
      <c r="AX103" s="138">
        <f>VLOOKUP(3,$AO$43:$BB$46,10,0)</f>
        <v>0</v>
      </c>
      <c r="AY103" s="138">
        <f>VLOOKUP(3,$AO$43:$BB$46,11,0)</f>
        <v>0</v>
      </c>
      <c r="AZ103" s="138">
        <f>VLOOKUP(3,$AO$43:$BB$46,12,0)</f>
        <v>1.1158000000000001</v>
      </c>
      <c r="BA103" s="137">
        <f t="shared" si="115"/>
        <v>1.1158000000000001</v>
      </c>
      <c r="BB103"/>
      <c r="BC103" s="94"/>
      <c r="BD103"/>
      <c r="BE103" t="str">
        <f t="shared" si="117"/>
        <v>Nieuw-Zeeland</v>
      </c>
      <c r="BF103" s="100" t="str">
        <f t="shared" si="119"/>
        <v>Paraguay</v>
      </c>
      <c r="BG103" s="152"/>
    </row>
    <row r="104" spans="1:59" s="90" customFormat="1" ht="14.25" customHeight="1" x14ac:dyDescent="0.2">
      <c r="A104" s="127">
        <v>75</v>
      </c>
      <c r="B104" s="144" t="s">
        <v>505</v>
      </c>
      <c r="C104" s="142">
        <v>0.125</v>
      </c>
      <c r="D104" s="48" t="str">
        <f>IF(AA33=3,Z33,Groepsloting!B91)</f>
        <v>1e poule F</v>
      </c>
      <c r="E104" s="89" t="s">
        <v>5</v>
      </c>
      <c r="F104" s="49" t="str">
        <f>IF(AA16=3,Z16,Groepsloting!B83)</f>
        <v>2e poule C</v>
      </c>
      <c r="G104" s="17"/>
      <c r="H104" s="79" t="s">
        <v>5</v>
      </c>
      <c r="I104" s="17"/>
      <c r="J104" s="19">
        <f t="shared" si="118"/>
        <v>0</v>
      </c>
      <c r="K104" s="80" t="s">
        <v>489</v>
      </c>
      <c r="L104" s="157"/>
      <c r="M104"/>
      <c r="N104"/>
      <c r="O104"/>
      <c r="P104"/>
      <c r="Q104"/>
      <c r="R104"/>
      <c r="S104"/>
      <c r="T104"/>
      <c r="U104"/>
      <c r="V104"/>
      <c r="W104" s="177"/>
      <c r="X104" s="66"/>
      <c r="Y104" s="4"/>
      <c r="Z104" s="4"/>
      <c r="AA104" s="4"/>
      <c r="AB104" s="4"/>
      <c r="AC104" s="4"/>
      <c r="AD104" s="4"/>
      <c r="AE104" s="4"/>
      <c r="AF104" s="4"/>
      <c r="AG104"/>
      <c r="AH104"/>
      <c r="AI104"/>
      <c r="AJ104"/>
      <c r="AK104"/>
      <c r="AL104"/>
      <c r="AM104"/>
      <c r="AN104" s="146" t="s">
        <v>524</v>
      </c>
      <c r="AO104" s="137">
        <f t="shared" si="114"/>
        <v>3</v>
      </c>
      <c r="AP104" s="138" t="str">
        <f>VLOOKUP(3,$AO$51:$BB$54,2,0)</f>
        <v>Egypte</v>
      </c>
      <c r="AQ104" s="138">
        <f>VLOOKUP(3,$AO$51:$BB$54,3,0)</f>
        <v>0</v>
      </c>
      <c r="AR104" s="138">
        <f>VLOOKUP(3,$AO$51:$BB$54,4,0)</f>
        <v>0</v>
      </c>
      <c r="AS104" s="138">
        <f>VLOOKUP(3,$AO$51:$BB$54,5,0)</f>
        <v>0</v>
      </c>
      <c r="AT104" s="138">
        <f>VLOOKUP(3,$AO$51:$BB$54,6,0)</f>
        <v>0</v>
      </c>
      <c r="AU104" s="138">
        <f>VLOOKUP(3,$AO$51:$BB$54,7,0)</f>
        <v>0</v>
      </c>
      <c r="AV104" s="138">
        <f>VLOOKUP(3,$AO$51:$BB$54,8,0)</f>
        <v>0</v>
      </c>
      <c r="AW104" s="138">
        <f>VLOOKUP(3,$AO$51:$BB$54,9,0)</f>
        <v>0</v>
      </c>
      <c r="AX104" s="138">
        <f>VLOOKUP(3,$AO$51:$BB$54,10,0)</f>
        <v>0</v>
      </c>
      <c r="AY104" s="138">
        <f>VLOOKUP(3,$AO$51:$BB$54,11,0)</f>
        <v>0</v>
      </c>
      <c r="AZ104" s="138">
        <f>VLOOKUP(3,$AO$51:$BB$54,12,0)</f>
        <v>1.1149</v>
      </c>
      <c r="BA104" s="137">
        <f t="shared" si="115"/>
        <v>1.1149</v>
      </c>
      <c r="BB104"/>
      <c r="BC104" s="94"/>
      <c r="BD104"/>
      <c r="BE104"/>
      <c r="BF104" s="100" t="str">
        <f t="shared" si="119"/>
        <v>Australië</v>
      </c>
      <c r="BG104" s="152"/>
    </row>
    <row r="105" spans="1:59" s="90" customFormat="1" ht="14.25" customHeight="1" x14ac:dyDescent="0.2">
      <c r="A105" s="127">
        <v>78</v>
      </c>
      <c r="B105" s="144" t="s">
        <v>505</v>
      </c>
      <c r="C105" s="142">
        <v>0.79166666666666663</v>
      </c>
      <c r="D105" s="48" t="str">
        <f>IF(AA28=3,Z28,Groepsloting!B89)</f>
        <v>2e poule E</v>
      </c>
      <c r="E105" s="89" t="s">
        <v>5</v>
      </c>
      <c r="F105" s="49" t="str">
        <f>IF(AA52=3,Z52,Groepsloting!B101)</f>
        <v>2e poule I</v>
      </c>
      <c r="G105" s="17"/>
      <c r="H105" s="79" t="s">
        <v>5</v>
      </c>
      <c r="I105" s="17"/>
      <c r="J105" s="19">
        <f t="shared" si="118"/>
        <v>0</v>
      </c>
      <c r="K105" s="80" t="s">
        <v>490</v>
      </c>
      <c r="L105" s="157"/>
      <c r="M105"/>
      <c r="N105"/>
      <c r="O105"/>
      <c r="P105"/>
      <c r="Q105"/>
      <c r="R105"/>
      <c r="S105"/>
      <c r="T105"/>
      <c r="U105"/>
      <c r="V105"/>
      <c r="W105" s="177"/>
      <c r="X105" s="66"/>
      <c r="Y105" s="4"/>
      <c r="Z105" s="4"/>
      <c r="AA105" s="4"/>
      <c r="AB105" s="4"/>
      <c r="AC105" s="4"/>
      <c r="AD105" s="4"/>
      <c r="AE105" s="4"/>
      <c r="AF105" s="4"/>
      <c r="AG105"/>
      <c r="AH105"/>
      <c r="AI105"/>
      <c r="AJ105"/>
      <c r="AK105"/>
      <c r="AL105"/>
      <c r="AM105"/>
      <c r="AN105" s="146" t="s">
        <v>523</v>
      </c>
      <c r="AO105" s="137">
        <f t="shared" si="114"/>
        <v>12</v>
      </c>
      <c r="AP105" s="138" t="str">
        <f>VLOOKUP(3,$AO$59:$BB$62,2,0)</f>
        <v>Saoedi-Arabië</v>
      </c>
      <c r="AQ105" s="138">
        <f>VLOOKUP(3,$AO$59:$BB$62,3,0)</f>
        <v>0</v>
      </c>
      <c r="AR105" s="138">
        <f>VLOOKUP(3,$AO$59:$BB$62,4,0)</f>
        <v>0</v>
      </c>
      <c r="AS105" s="138">
        <f>VLOOKUP(3,$AO$59:$BB$62,5,0)</f>
        <v>0</v>
      </c>
      <c r="AT105" s="138">
        <f>VLOOKUP(3,$AO$59:$BB$62,6,0)</f>
        <v>0</v>
      </c>
      <c r="AU105" s="138">
        <f>VLOOKUP(3,$AO$59:$BB$62,7,0)</f>
        <v>0</v>
      </c>
      <c r="AV105" s="138">
        <f>VLOOKUP(3,$AO$59:$BB$62,8,0)</f>
        <v>0</v>
      </c>
      <c r="AW105" s="138">
        <f>VLOOKUP(3,$AO$59:$BB$62,9,0)</f>
        <v>0</v>
      </c>
      <c r="AX105" s="138">
        <f>VLOOKUP(3,$AO$59:$BB$62,10,0)</f>
        <v>0</v>
      </c>
      <c r="AY105" s="138">
        <f>VLOOKUP(3,$AO$59:$BB$62,11,0)</f>
        <v>0</v>
      </c>
      <c r="AZ105" s="138">
        <f>VLOOKUP(3,$AO$59:$BB$62,12,0)</f>
        <v>1.1181000000000001</v>
      </c>
      <c r="BA105" s="137">
        <f t="shared" si="115"/>
        <v>1.1181000000000001</v>
      </c>
      <c r="BB105"/>
      <c r="BC105" s="94"/>
      <c r="BD105"/>
      <c r="BE105" s="91" t="s">
        <v>680</v>
      </c>
      <c r="BF105" s="100" t="str">
        <f t="shared" si="119"/>
        <v>Turkije</v>
      </c>
      <c r="BG105" s="152"/>
    </row>
    <row r="106" spans="1:59" s="90" customFormat="1" ht="14.25" customHeight="1" x14ac:dyDescent="0.2">
      <c r="A106" s="127">
        <v>77</v>
      </c>
      <c r="B106" s="144" t="s">
        <v>505</v>
      </c>
      <c r="C106" s="142">
        <v>0.95833333333333337</v>
      </c>
      <c r="D106" s="48" t="str">
        <f>IF(AA51=3,Z51,Groepsloting!B100)</f>
        <v>1e poule I</v>
      </c>
      <c r="E106" s="89" t="s">
        <v>5</v>
      </c>
      <c r="F106" s="49" t="str">
        <f>IF(MIN($AQ$98:$AQ$109)=3,$BC$119,"3e Poule CDFGH")</f>
        <v>3e Poule CDFGH</v>
      </c>
      <c r="G106" s="17"/>
      <c r="H106" s="79" t="s">
        <v>5</v>
      </c>
      <c r="I106" s="17"/>
      <c r="J106" s="19">
        <f t="shared" si="118"/>
        <v>0</v>
      </c>
      <c r="K106" s="80" t="s">
        <v>491</v>
      </c>
      <c r="L106" s="157"/>
      <c r="M106"/>
      <c r="N106"/>
      <c r="O106"/>
      <c r="P106"/>
      <c r="Q106"/>
      <c r="R106"/>
      <c r="S106"/>
      <c r="T106"/>
      <c r="U106"/>
      <c r="V106"/>
      <c r="W106" s="177"/>
      <c r="X106" s="66"/>
      <c r="Y106" s="4"/>
      <c r="Z106" s="4"/>
      <c r="AA106" s="4"/>
      <c r="AB106" s="4"/>
      <c r="AC106" s="4"/>
      <c r="AD106" s="4"/>
      <c r="AE106" s="4"/>
      <c r="AF106" s="4"/>
      <c r="AG106"/>
      <c r="AH106"/>
      <c r="AI106"/>
      <c r="AJ106"/>
      <c r="AK106"/>
      <c r="AL106"/>
      <c r="AM106"/>
      <c r="AN106" s="146" t="s">
        <v>521</v>
      </c>
      <c r="AO106" s="137">
        <f t="shared" si="114"/>
        <v>4</v>
      </c>
      <c r="AP106" s="138" t="str">
        <f>VLOOKUP(3,$AO$67:$BB$70,2,0)</f>
        <v>Noorwegen</v>
      </c>
      <c r="AQ106" s="138">
        <f>VLOOKUP(3,$AO$67:$BB$70,3,0)</f>
        <v>0</v>
      </c>
      <c r="AR106" s="138">
        <f>VLOOKUP(3,$AO$67:$BB$70,4,0)</f>
        <v>0</v>
      </c>
      <c r="AS106" s="138">
        <f>VLOOKUP(3,$AO$67:$BB$70,5,0)</f>
        <v>0</v>
      </c>
      <c r="AT106" s="138">
        <f>VLOOKUP(3,$AO$67:$BB$70,6,0)</f>
        <v>0</v>
      </c>
      <c r="AU106" s="138">
        <f>VLOOKUP(3,$AO$67:$BB$70,7,0)</f>
        <v>0</v>
      </c>
      <c r="AV106" s="138">
        <f>VLOOKUP(3,$AO$67:$BB$70,8,0)</f>
        <v>0</v>
      </c>
      <c r="AW106" s="138">
        <f>VLOOKUP(3,$AO$67:$BB$70,9,0)</f>
        <v>0</v>
      </c>
      <c r="AX106" s="138">
        <f>VLOOKUP(3,$AO$67:$BB$70,10,0)</f>
        <v>0</v>
      </c>
      <c r="AY106" s="138">
        <f>VLOOKUP(3,$AO$67:$BB$70,11,0)</f>
        <v>0</v>
      </c>
      <c r="AZ106" s="138">
        <f>VLOOKUP(3,$AO$67:$BB$70,12,0)</f>
        <v>1.1151000000000002</v>
      </c>
      <c r="BA106" s="137">
        <f t="shared" si="115"/>
        <v>1.1151000000000002</v>
      </c>
      <c r="BB106"/>
      <c r="BC106" s="94"/>
      <c r="BD106"/>
      <c r="BE106" t="str">
        <f t="shared" ref="BE106:BE109" si="120">BE27</f>
        <v>Duitsland</v>
      </c>
      <c r="BF106" s="100" t="str">
        <f t="shared" ref="BF106:BF109" si="121">BE27</f>
        <v>Duitsland</v>
      </c>
      <c r="BG106" s="152"/>
    </row>
    <row r="107" spans="1:59" s="90" customFormat="1" ht="14.25" customHeight="1" x14ac:dyDescent="0.2">
      <c r="A107" s="127">
        <v>79</v>
      </c>
      <c r="B107" s="144" t="s">
        <v>506</v>
      </c>
      <c r="C107" s="142">
        <v>0.125</v>
      </c>
      <c r="D107" s="48" t="str">
        <f>IF(AA3=3,Z3,Groepsloting!B76)</f>
        <v>1e poule A</v>
      </c>
      <c r="E107" s="89" t="s">
        <v>5</v>
      </c>
      <c r="F107" s="49" t="str">
        <f>IF(MIN($AQ$98:$AQ$109)=3,$BC$120,"3e Poule CEFHI")</f>
        <v>3e Poule CEFHI</v>
      </c>
      <c r="G107" s="17"/>
      <c r="H107" s="79" t="s">
        <v>5</v>
      </c>
      <c r="I107" s="17"/>
      <c r="J107" s="19">
        <f t="shared" si="118"/>
        <v>0</v>
      </c>
      <c r="K107" s="80" t="s">
        <v>492</v>
      </c>
      <c r="L107" s="157"/>
      <c r="M107"/>
      <c r="N107"/>
      <c r="O107"/>
      <c r="P107"/>
      <c r="Q107"/>
      <c r="R107"/>
      <c r="S107"/>
      <c r="T107"/>
      <c r="U107"/>
      <c r="V107"/>
      <c r="W107" s="177"/>
      <c r="X107" s="66"/>
      <c r="Y107" s="4"/>
      <c r="Z107" s="4"/>
      <c r="AA107" s="4"/>
      <c r="AB107" s="4"/>
      <c r="AC107" s="4"/>
      <c r="AD107" s="4"/>
      <c r="AE107" s="4"/>
      <c r="AF107" s="4"/>
      <c r="AG107"/>
      <c r="AH107"/>
      <c r="AI107"/>
      <c r="AJ107"/>
      <c r="AK107"/>
      <c r="AL107"/>
      <c r="AM107"/>
      <c r="AN107" s="146" t="s">
        <v>520</v>
      </c>
      <c r="AO107" s="137">
        <f t="shared" si="114"/>
        <v>2</v>
      </c>
      <c r="AP107" s="138" t="str">
        <f>VLOOKUP(3,$AO$75:AR$78,2,0)</f>
        <v>Algerije</v>
      </c>
      <c r="AQ107" s="138">
        <f>VLOOKUP(3,$AO$75:AS$78,3,0)</f>
        <v>0</v>
      </c>
      <c r="AR107" s="138">
        <f>VLOOKUP(3,$AO$75:AT$78,4,0)</f>
        <v>0</v>
      </c>
      <c r="AS107" s="138">
        <f>VLOOKUP(3,$AO$75:AU$78,5,0)</f>
        <v>0</v>
      </c>
      <c r="AT107" s="138">
        <f>VLOOKUP(3,$AO$75:AV$78,6,0)</f>
        <v>0</v>
      </c>
      <c r="AU107" s="138">
        <f>VLOOKUP(3,$AO$75:AW$78,7,0)</f>
        <v>0</v>
      </c>
      <c r="AV107" s="138">
        <f>VLOOKUP(3,$AO$75:AX$78,8,0)</f>
        <v>0</v>
      </c>
      <c r="AW107" s="138">
        <f>VLOOKUP(3,$AO$75:AY$78,9,0)</f>
        <v>0</v>
      </c>
      <c r="AX107" s="138">
        <f>VLOOKUP(3,$AO$75:AZ$78,10,0)</f>
        <v>0</v>
      </c>
      <c r="AY107" s="138">
        <f>VLOOKUP(3,$AO$75:BA$78,11,0)</f>
        <v>0</v>
      </c>
      <c r="AZ107" s="138">
        <f>VLOOKUP(3,$AO$75:BB$78,12,0)</f>
        <v>1.1148</v>
      </c>
      <c r="BA107" s="137">
        <f t="shared" si="115"/>
        <v>1.1148</v>
      </c>
      <c r="BB107"/>
      <c r="BC107" s="94"/>
      <c r="BD107"/>
      <c r="BE107" t="str">
        <f t="shared" si="120"/>
        <v>Curaçao</v>
      </c>
      <c r="BF107" s="100" t="str">
        <f t="shared" si="121"/>
        <v>Curaçao</v>
      </c>
      <c r="BG107" s="152"/>
    </row>
    <row r="108" spans="1:59" s="90" customFormat="1" ht="14.25" customHeight="1" x14ac:dyDescent="0.2">
      <c r="A108" s="127">
        <v>80</v>
      </c>
      <c r="B108" s="144" t="s">
        <v>506</v>
      </c>
      <c r="C108" s="142">
        <v>0.75</v>
      </c>
      <c r="D108" s="48" t="str">
        <f>IF(AA69=3,Z69,Groepsloting!B109)</f>
        <v>1e poule L</v>
      </c>
      <c r="E108" s="89" t="s">
        <v>5</v>
      </c>
      <c r="F108" s="49" t="str">
        <f>IF(MIN($AQ$98:$AQ$109)=3,$BC$121,"3e Poule EHIJK")</f>
        <v>3e Poule EHIJK</v>
      </c>
      <c r="G108" s="17"/>
      <c r="H108" s="79" t="s">
        <v>5</v>
      </c>
      <c r="I108" s="17"/>
      <c r="J108" s="19">
        <f t="shared" si="118"/>
        <v>0</v>
      </c>
      <c r="K108" s="80" t="s">
        <v>493</v>
      </c>
      <c r="L108" s="157"/>
      <c r="M108"/>
      <c r="N108"/>
      <c r="O108"/>
      <c r="P108"/>
      <c r="Q108"/>
      <c r="R108"/>
      <c r="S108"/>
      <c r="T108"/>
      <c r="U108"/>
      <c r="V108"/>
      <c r="W108" s="177"/>
      <c r="X108" s="66"/>
      <c r="Y108" s="4"/>
      <c r="Z108" s="4"/>
      <c r="AA108" s="4"/>
      <c r="AB108" s="4"/>
      <c r="AC108" s="4"/>
      <c r="AD108" s="4"/>
      <c r="AE108" s="4"/>
      <c r="AF108" s="4"/>
      <c r="AG108"/>
      <c r="AH108"/>
      <c r="AI108"/>
      <c r="AJ108"/>
      <c r="AK108"/>
      <c r="AL108"/>
      <c r="AM108"/>
      <c r="AN108" s="146" t="s">
        <v>526</v>
      </c>
      <c r="AO108" s="137">
        <f t="shared" si="114"/>
        <v>10</v>
      </c>
      <c r="AP108" s="138" t="str">
        <f>VLOOKUP(3,$AO$83:$BB$86,2,0)</f>
        <v>Congo</v>
      </c>
      <c r="AQ108" s="138">
        <f>VLOOKUP(3,$AO$83:$BB$86,3,0)</f>
        <v>0</v>
      </c>
      <c r="AR108" s="138">
        <f>VLOOKUP(3,$AO$83:$BB$86,4,0)</f>
        <v>0</v>
      </c>
      <c r="AS108" s="138">
        <f>VLOOKUP(3,$AO$83:$BB$86,5,0)</f>
        <v>0</v>
      </c>
      <c r="AT108" s="138">
        <f>VLOOKUP(3,$AO$83:$BB$86,6,0)</f>
        <v>0</v>
      </c>
      <c r="AU108" s="138">
        <f>VLOOKUP(3,$AO$83:$BB$86,7,0)</f>
        <v>0</v>
      </c>
      <c r="AV108" s="138">
        <f>VLOOKUP(3,$AO$83:$BB$86,8,0)</f>
        <v>0</v>
      </c>
      <c r="AW108" s="138">
        <f>VLOOKUP(3,$AO$83:$BB$86,9,0)</f>
        <v>0</v>
      </c>
      <c r="AX108" s="138">
        <f>VLOOKUP(3,$AO$83:$BB$86,10,0)</f>
        <v>0</v>
      </c>
      <c r="AY108" s="138">
        <f>VLOOKUP(3,$AO$83:$BB$86,11,0)</f>
        <v>0</v>
      </c>
      <c r="AZ108" s="138">
        <f>VLOOKUP(3,$AO$83:$BB$86,12,0)</f>
        <v>1.1166</v>
      </c>
      <c r="BA108" s="137">
        <f t="shared" si="115"/>
        <v>1.1166</v>
      </c>
      <c r="BB108"/>
      <c r="BC108" s="94"/>
      <c r="BD108"/>
      <c r="BE108" t="str">
        <f t="shared" si="120"/>
        <v>Ivoorkust</v>
      </c>
      <c r="BF108" s="100" t="str">
        <f t="shared" si="121"/>
        <v>Ivoorkust</v>
      </c>
      <c r="BG108" s="152"/>
    </row>
    <row r="109" spans="1:59" s="90" customFormat="1" ht="14.25" customHeight="1" x14ac:dyDescent="0.2">
      <c r="A109" s="127">
        <v>82</v>
      </c>
      <c r="B109" s="144" t="s">
        <v>506</v>
      </c>
      <c r="C109" s="142">
        <v>0.91666666666666663</v>
      </c>
      <c r="D109" s="48" t="str">
        <f>IF(AA39=3,Z39,Groepsloting!B94)</f>
        <v>1e poule G</v>
      </c>
      <c r="E109" s="89" t="s">
        <v>5</v>
      </c>
      <c r="F109" s="49" t="str">
        <f>IF(MIN($AQ$98:$AQ$109)=3,$BC$122,"3e Poule AEHIJ")</f>
        <v>3e Poule AEHIJ</v>
      </c>
      <c r="G109" s="17"/>
      <c r="H109" s="79" t="s">
        <v>5</v>
      </c>
      <c r="I109" s="17"/>
      <c r="J109" s="19">
        <f t="shared" ref="J109:J116" si="122">IF(AND(G109="",I109=""),0,IF(G109&gt;I109,1,IF(G109&lt;I109,2,3)))</f>
        <v>0</v>
      </c>
      <c r="K109" s="80" t="s">
        <v>496</v>
      </c>
      <c r="L109" s="157"/>
      <c r="M109"/>
      <c r="N109"/>
      <c r="O109"/>
      <c r="P109"/>
      <c r="Q109"/>
      <c r="R109"/>
      <c r="S109"/>
      <c r="T109"/>
      <c r="U109"/>
      <c r="V109"/>
      <c r="W109" s="177"/>
      <c r="X109" s="66"/>
      <c r="Y109" s="4"/>
      <c r="Z109" s="4"/>
      <c r="AA109" s="4"/>
      <c r="AB109" s="4"/>
      <c r="AC109" s="4"/>
      <c r="AD109" s="4"/>
      <c r="AE109" s="4"/>
      <c r="AF109" s="4"/>
      <c r="AG109"/>
      <c r="AH109"/>
      <c r="AI109"/>
      <c r="AJ109"/>
      <c r="AK109"/>
      <c r="AL109"/>
      <c r="AM109"/>
      <c r="AN109" s="146" t="s">
        <v>525</v>
      </c>
      <c r="AO109" s="137">
        <f t="shared" si="114"/>
        <v>5</v>
      </c>
      <c r="AP109" s="138" t="str">
        <f>VLOOKUP(3,$AO$91:$BB$94,2,0)</f>
        <v>Panama</v>
      </c>
      <c r="AQ109" s="138">
        <f>VLOOKUP(3,$AO$91:$BB$94,3,0)</f>
        <v>0</v>
      </c>
      <c r="AR109" s="138">
        <f>VLOOKUP(3,$AO$91:$BB$94,4,0)</f>
        <v>0</v>
      </c>
      <c r="AS109" s="138">
        <f>VLOOKUP(3,$AO$91:$BB$94,5,0)</f>
        <v>0</v>
      </c>
      <c r="AT109" s="138">
        <f>VLOOKUP(3,$AO$91:$BB$94,6,0)</f>
        <v>0</v>
      </c>
      <c r="AU109" s="138">
        <f>VLOOKUP(3,$AO$91:$BB$94,7,0)</f>
        <v>0</v>
      </c>
      <c r="AV109" s="138">
        <f>VLOOKUP(3,$AO$91:$BB$94,8,0)</f>
        <v>0</v>
      </c>
      <c r="AW109" s="138">
        <f>VLOOKUP(3,$AO$91:$BB$94,9,0)</f>
        <v>0</v>
      </c>
      <c r="AX109" s="138">
        <f>VLOOKUP(3,$AO$91:$BB$94,10,0)</f>
        <v>0</v>
      </c>
      <c r="AY109" s="138">
        <f>VLOOKUP(3,$AO$91:$BB$94,11,0)</f>
        <v>0</v>
      </c>
      <c r="AZ109" s="138">
        <f>VLOOKUP(3,$AO$91:$BB$94,12,0)</f>
        <v>1.1153000000000002</v>
      </c>
      <c r="BA109" s="137">
        <f t="shared" si="115"/>
        <v>1.1153000000000002</v>
      </c>
      <c r="BB109"/>
      <c r="BC109" s="94"/>
      <c r="BD109"/>
      <c r="BE109" t="str">
        <f t="shared" si="120"/>
        <v>Ecuador</v>
      </c>
      <c r="BF109" s="100" t="str">
        <f t="shared" si="121"/>
        <v>Ecuador</v>
      </c>
      <c r="BG109" s="152"/>
    </row>
    <row r="110" spans="1:59" s="90" customFormat="1" ht="14.25" customHeight="1" x14ac:dyDescent="0.2">
      <c r="A110" s="127">
        <v>81</v>
      </c>
      <c r="B110" s="144" t="s">
        <v>507</v>
      </c>
      <c r="C110" s="142">
        <v>8.3333333333333329E-2</v>
      </c>
      <c r="D110" s="48" t="str">
        <f>IF(AA21=3,Z21,Groepsloting!B85)</f>
        <v>1e poule D</v>
      </c>
      <c r="E110" s="89" t="s">
        <v>5</v>
      </c>
      <c r="F110" s="49" t="str">
        <f>IF(MIN($AQ$98:$AQ$109)=3,$BC$123,"3e Poule BEFIJ")</f>
        <v>3e Poule BEFIJ</v>
      </c>
      <c r="G110" s="17"/>
      <c r="H110" s="79" t="s">
        <v>5</v>
      </c>
      <c r="I110" s="17"/>
      <c r="J110" s="19">
        <f t="shared" si="122"/>
        <v>0</v>
      </c>
      <c r="K110" s="80" t="s">
        <v>497</v>
      </c>
      <c r="L110" s="157"/>
      <c r="M110"/>
      <c r="N110"/>
      <c r="O110"/>
      <c r="P110"/>
      <c r="Q110"/>
      <c r="R110"/>
      <c r="S110"/>
      <c r="T110"/>
      <c r="U110"/>
      <c r="V110"/>
      <c r="W110" s="177"/>
      <c r="X110" s="66"/>
      <c r="Y110" s="4"/>
      <c r="Z110" s="4"/>
      <c r="AA110" s="4"/>
      <c r="AB110" s="4"/>
      <c r="AC110" s="4"/>
      <c r="AD110" s="4"/>
      <c r="AE110" s="4"/>
      <c r="AF110" s="4"/>
      <c r="AG110"/>
      <c r="AH110"/>
      <c r="AI110"/>
      <c r="AJ110"/>
      <c r="AK110"/>
      <c r="AL110"/>
      <c r="AM110"/>
      <c r="AN110"/>
      <c r="AO110"/>
      <c r="AP110"/>
      <c r="AQ110"/>
      <c r="AR110"/>
      <c r="AS110"/>
      <c r="AT110"/>
      <c r="AU110"/>
      <c r="AV110"/>
      <c r="AW110"/>
      <c r="AX110"/>
      <c r="AY110"/>
      <c r="AZ110"/>
      <c r="BA110"/>
      <c r="BB110"/>
      <c r="BC110" s="147"/>
      <c r="BD110" s="147"/>
      <c r="BE110" t="str">
        <f t="shared" ref="BE110:BE113" si="123">BE51</f>
        <v>Irak</v>
      </c>
      <c r="BF110" s="100" t="str">
        <f t="shared" ref="BF110:BF113" si="124">BE33</f>
        <v>Nederland</v>
      </c>
      <c r="BG110" s="152"/>
    </row>
    <row r="111" spans="1:59" s="90" customFormat="1" ht="14.25" customHeight="1" x14ac:dyDescent="0.2">
      <c r="A111" s="127">
        <v>84</v>
      </c>
      <c r="B111" s="144" t="s">
        <v>507</v>
      </c>
      <c r="C111" s="142">
        <v>0.875</v>
      </c>
      <c r="D111" s="48" t="str">
        <f>IF(AA45=3,Z45,Groepsloting!B97)</f>
        <v>1e poule H</v>
      </c>
      <c r="E111" s="89" t="s">
        <v>5</v>
      </c>
      <c r="F111" s="49" t="str">
        <f>IF(AA58=3,Z58,Groepsloting!B104)</f>
        <v>2e poule J</v>
      </c>
      <c r="G111" s="17"/>
      <c r="H111" s="79" t="s">
        <v>5</v>
      </c>
      <c r="I111" s="17"/>
      <c r="J111" s="19">
        <f t="shared" si="122"/>
        <v>0</v>
      </c>
      <c r="K111" s="80" t="s">
        <v>498</v>
      </c>
      <c r="L111" s="157"/>
      <c r="M111"/>
      <c r="N111"/>
      <c r="O111"/>
      <c r="P111"/>
      <c r="Q111"/>
      <c r="R111"/>
      <c r="S111"/>
      <c r="T111"/>
      <c r="U111"/>
      <c r="V111"/>
      <c r="W111" s="177"/>
      <c r="X111" s="66"/>
      <c r="Y111" s="4"/>
      <c r="Z111" s="4"/>
      <c r="AA111" s="4"/>
      <c r="AB111" s="4"/>
      <c r="AC111" s="4"/>
      <c r="AD111" s="4"/>
      <c r="AE111" s="4"/>
      <c r="AF111" s="4"/>
      <c r="AG111"/>
      <c r="AH111"/>
      <c r="AI111"/>
      <c r="AJ111"/>
      <c r="AK111"/>
      <c r="AL111"/>
      <c r="AM111"/>
      <c r="AN111"/>
      <c r="AO111"/>
      <c r="AP111"/>
      <c r="AQ111" t="s">
        <v>519</v>
      </c>
      <c r="AR111" t="s">
        <v>520</v>
      </c>
      <c r="AS111" t="s">
        <v>529</v>
      </c>
      <c r="AT111" t="s">
        <v>527</v>
      </c>
      <c r="AU111" t="s">
        <v>523</v>
      </c>
      <c r="AV111" t="s">
        <v>522</v>
      </c>
      <c r="AW111" t="s">
        <v>521</v>
      </c>
      <c r="AX111" t="s">
        <v>526</v>
      </c>
      <c r="AY111"/>
      <c r="AZ111"/>
      <c r="BA111"/>
      <c r="BB111"/>
      <c r="BC111" s="147"/>
      <c r="BD111" s="147"/>
      <c r="BE111" t="str">
        <f t="shared" si="123"/>
        <v>Frankrijk</v>
      </c>
      <c r="BF111" s="152" t="str">
        <f t="shared" si="124"/>
        <v>Japan</v>
      </c>
      <c r="BG111" s="152"/>
    </row>
    <row r="112" spans="1:59" s="90" customFormat="1" ht="14.25" customHeight="1" x14ac:dyDescent="0.2">
      <c r="A112" s="127">
        <v>83</v>
      </c>
      <c r="B112" s="144" t="s">
        <v>508</v>
      </c>
      <c r="C112" s="142">
        <v>4.1666666666666664E-2</v>
      </c>
      <c r="D112" s="48" t="str">
        <f>IF(AA64=3,Z64,Groepsloting!B107)</f>
        <v>2e poule K</v>
      </c>
      <c r="E112" s="89" t="s">
        <v>5</v>
      </c>
      <c r="F112" s="49" t="str">
        <f>IF(AA70=3,Z70,Groepsloting!B110)</f>
        <v>2e poule L</v>
      </c>
      <c r="G112" s="17"/>
      <c r="H112" s="79" t="s">
        <v>5</v>
      </c>
      <c r="I112" s="17"/>
      <c r="J112" s="19">
        <f t="shared" si="122"/>
        <v>0</v>
      </c>
      <c r="K112" s="80" t="s">
        <v>499</v>
      </c>
      <c r="L112" s="157"/>
      <c r="M112"/>
      <c r="N112"/>
      <c r="O112"/>
      <c r="P112"/>
      <c r="Q112"/>
      <c r="R112"/>
      <c r="S112"/>
      <c r="T112"/>
      <c r="U112"/>
      <c r="V112"/>
      <c r="W112" s="177"/>
      <c r="X112" s="66"/>
      <c r="Y112" s="4"/>
      <c r="Z112" s="4"/>
      <c r="AA112" s="4"/>
      <c r="AB112" s="4"/>
      <c r="AC112" s="4"/>
      <c r="AD112" s="4"/>
      <c r="AE112" s="4"/>
      <c r="AF112" s="4"/>
      <c r="AG112"/>
      <c r="AH112"/>
      <c r="AI112"/>
      <c r="AJ112"/>
      <c r="AK112"/>
      <c r="AL112"/>
      <c r="AM112"/>
      <c r="AN112"/>
      <c r="AO112" s="152">
        <v>1</v>
      </c>
      <c r="AP112" s="41">
        <v>2</v>
      </c>
      <c r="AQ112" s="41">
        <v>3</v>
      </c>
      <c r="AR112" s="41">
        <v>4</v>
      </c>
      <c r="AS112" s="41">
        <v>5</v>
      </c>
      <c r="AT112" s="41">
        <v>6</v>
      </c>
      <c r="AU112" s="41">
        <v>7</v>
      </c>
      <c r="AV112" s="41">
        <v>8</v>
      </c>
      <c r="AW112" s="41">
        <v>9</v>
      </c>
      <c r="AX112" s="41">
        <v>10</v>
      </c>
      <c r="AY112"/>
      <c r="AZ112"/>
      <c r="BA112"/>
      <c r="BB112"/>
      <c r="BE112" t="str">
        <f t="shared" si="123"/>
        <v>Senegal</v>
      </c>
      <c r="BF112" s="152" t="str">
        <f t="shared" si="124"/>
        <v>Tunesië</v>
      </c>
      <c r="BG112" s="152"/>
    </row>
    <row r="113" spans="1:59" s="90" customFormat="1" ht="14.25" customHeight="1" x14ac:dyDescent="0.2">
      <c r="A113" s="127">
        <v>85</v>
      </c>
      <c r="B113" s="144" t="s">
        <v>508</v>
      </c>
      <c r="C113" s="142">
        <v>0.20833333333333334</v>
      </c>
      <c r="D113" s="48" t="str">
        <f>IF(AA9=3,Z9,Groepsloting!B79)</f>
        <v>1e poule B</v>
      </c>
      <c r="E113" s="89" t="s">
        <v>5</v>
      </c>
      <c r="F113" s="49" t="str">
        <f>IF(MIN($AQ$98:$AQ$109)=3,$BC$124,"3e Poule EFGIJ")</f>
        <v>3e Poule EFGIJ</v>
      </c>
      <c r="G113" s="17"/>
      <c r="H113" s="79" t="s">
        <v>5</v>
      </c>
      <c r="I113" s="17"/>
      <c r="J113" s="19">
        <f t="shared" si="122"/>
        <v>0</v>
      </c>
      <c r="K113" s="80" t="s">
        <v>500</v>
      </c>
      <c r="L113" s="157"/>
      <c r="M113"/>
      <c r="N113"/>
      <c r="O113"/>
      <c r="P113"/>
      <c r="Q113"/>
      <c r="R113"/>
      <c r="S113"/>
      <c r="T113"/>
      <c r="U113"/>
      <c r="V113"/>
      <c r="W113" s="177"/>
      <c r="X113" s="66"/>
      <c r="Y113" s="4"/>
      <c r="Z113" s="4"/>
      <c r="AA113" s="4"/>
      <c r="AB113" s="4"/>
      <c r="AC113" s="4"/>
      <c r="AD113" s="4"/>
      <c r="AE113" s="4"/>
      <c r="AF113" s="4"/>
      <c r="AG113"/>
      <c r="AH113"/>
      <c r="AI113"/>
      <c r="AJ113"/>
      <c r="AK113"/>
      <c r="AL113"/>
      <c r="AM113"/>
      <c r="AN113"/>
      <c r="AO113" s="194" t="s">
        <v>539</v>
      </c>
      <c r="AP113" s="195" t="s">
        <v>518</v>
      </c>
      <c r="AQ113" s="196" t="s">
        <v>458</v>
      </c>
      <c r="AR113" s="195" t="s">
        <v>462</v>
      </c>
      <c r="AS113" s="195" t="s">
        <v>461</v>
      </c>
      <c r="AT113" s="195" t="s">
        <v>456</v>
      </c>
      <c r="AU113" s="195" t="s">
        <v>460</v>
      </c>
      <c r="AV113" s="195" t="s">
        <v>457</v>
      </c>
      <c r="AW113" s="195" t="s">
        <v>463</v>
      </c>
      <c r="AX113" s="195" t="s">
        <v>459</v>
      </c>
      <c r="AY113" s="4" t="s">
        <v>534</v>
      </c>
      <c r="AZ113"/>
      <c r="BA113"/>
      <c r="BB113"/>
      <c r="BE113" t="str">
        <f t="shared" si="123"/>
        <v>Noorwegen</v>
      </c>
      <c r="BF113" s="41" t="str">
        <f t="shared" si="124"/>
        <v>Zweden</v>
      </c>
      <c r="BG113" s="152"/>
    </row>
    <row r="114" spans="1:59" s="90" customFormat="1" ht="14.25" customHeight="1" x14ac:dyDescent="0.2">
      <c r="A114" s="127">
        <v>88</v>
      </c>
      <c r="B114" s="144" t="s">
        <v>508</v>
      </c>
      <c r="C114" s="142">
        <v>0.83333333333333337</v>
      </c>
      <c r="D114" s="48" t="str">
        <f>IF(AA22=3,Z22,Groepsloting!B86)</f>
        <v>2e poule D</v>
      </c>
      <c r="E114" s="89" t="s">
        <v>5</v>
      </c>
      <c r="F114" s="49" t="str">
        <f>IF(AA40=3,Z40,Groepsloting!B95)</f>
        <v>2e poule G</v>
      </c>
      <c r="G114" s="17"/>
      <c r="H114" s="79" t="s">
        <v>5</v>
      </c>
      <c r="I114" s="17"/>
      <c r="J114" s="19">
        <f t="shared" si="122"/>
        <v>0</v>
      </c>
      <c r="K114" s="80" t="s">
        <v>501</v>
      </c>
      <c r="L114" s="157"/>
      <c r="M114"/>
      <c r="N114"/>
      <c r="O114"/>
      <c r="P114"/>
      <c r="Q114"/>
      <c r="R114"/>
      <c r="S114"/>
      <c r="T114"/>
      <c r="U114"/>
      <c r="V114"/>
      <c r="W114" s="177"/>
      <c r="X114" s="66"/>
      <c r="Y114" s="4"/>
      <c r="Z114" s="4"/>
      <c r="AA114" s="4"/>
      <c r="AB114" s="4"/>
      <c r="AC114" s="4"/>
      <c r="AD114" s="4"/>
      <c r="AE114" s="4"/>
      <c r="AF114" s="4"/>
      <c r="AG114"/>
      <c r="AH114"/>
      <c r="AI114"/>
      <c r="AJ114"/>
      <c r="AK114"/>
      <c r="AL114"/>
      <c r="AM114"/>
      <c r="AO114" s="148">
        <f t="shared" ref="AO114:AO177" si="125">VLOOKUP(AQ114,$AN$98:$BA$109,14,0)+VLOOKUP(AR114,$AN$98:$BA$109,14,0)+VLOOKUP(AS114,$AN$98:$BA$109,14,0)+VLOOKUP(AT114,$AN$98:$BA$109,14,0)+VLOOKUP(AU114,$AN$98:$BA$109,14,0)+VLOOKUP(AV114,$AN$98:$BA$109,14,0)+VLOOKUP(AW114,$AN$98:$BA$109,14,0)+VLOOKUP(AX114,$AN$98:$BA$109,14,0)</f>
        <v>8.9260000000000019</v>
      </c>
      <c r="AP114" s="195">
        <v>1</v>
      </c>
      <c r="AQ114" s="195" t="s">
        <v>519</v>
      </c>
      <c r="AR114" s="195" t="s">
        <v>520</v>
      </c>
      <c r="AS114" s="195" t="s">
        <v>521</v>
      </c>
      <c r="AT114" s="195" t="s">
        <v>522</v>
      </c>
      <c r="AU114" s="195" t="s">
        <v>523</v>
      </c>
      <c r="AV114" s="195" t="s">
        <v>524</v>
      </c>
      <c r="AW114" s="195" t="s">
        <v>525</v>
      </c>
      <c r="AX114" s="195" t="s">
        <v>526</v>
      </c>
      <c r="AZ114" s="91" t="s">
        <v>535</v>
      </c>
      <c r="BA114"/>
      <c r="BB114"/>
      <c r="BE114"/>
      <c r="BF114" s="152" t="str">
        <f t="shared" ref="BF114:BF117" si="126">BE39</f>
        <v>België</v>
      </c>
      <c r="BG114" s="152"/>
    </row>
    <row r="115" spans="1:59" s="90" customFormat="1" ht="14.25" customHeight="1" x14ac:dyDescent="0.2">
      <c r="A115" s="127">
        <v>86</v>
      </c>
      <c r="B115" s="144" t="s">
        <v>509</v>
      </c>
      <c r="C115" s="142">
        <v>0</v>
      </c>
      <c r="D115" s="48" t="str">
        <f>IF(AA57=3,Z57,Groepsloting!B103)</f>
        <v>1e poule J</v>
      </c>
      <c r="E115" s="89" t="s">
        <v>5</v>
      </c>
      <c r="F115" s="49" t="str">
        <f>IF(AA46=3,Z46,Groepsloting!B98)</f>
        <v>2e poule H</v>
      </c>
      <c r="G115" s="17"/>
      <c r="H115" s="79" t="s">
        <v>5</v>
      </c>
      <c r="I115" s="17"/>
      <c r="J115" s="19">
        <f t="shared" si="122"/>
        <v>0</v>
      </c>
      <c r="K115" s="80" t="s">
        <v>502</v>
      </c>
      <c r="L115" s="157"/>
      <c r="M115"/>
      <c r="N115"/>
      <c r="O115"/>
      <c r="P115"/>
      <c r="Q115"/>
      <c r="R115"/>
      <c r="S115"/>
      <c r="T115"/>
      <c r="U115"/>
      <c r="V115"/>
      <c r="W115" s="177"/>
      <c r="X115" s="66"/>
      <c r="Y115" s="4"/>
      <c r="Z115" s="4"/>
      <c r="AA115" s="4"/>
      <c r="AB115" s="4"/>
      <c r="AC115" s="4"/>
      <c r="AD115" s="4"/>
      <c r="AE115" s="4"/>
      <c r="AF115" s="4"/>
      <c r="AG115"/>
      <c r="AH115"/>
      <c r="AI115"/>
      <c r="AJ115"/>
      <c r="AK115"/>
      <c r="AL115"/>
      <c r="AM115"/>
      <c r="AN115"/>
      <c r="AO115" s="148">
        <f t="shared" si="125"/>
        <v>8.9253</v>
      </c>
      <c r="AP115" s="195">
        <v>2</v>
      </c>
      <c r="AQ115" s="195" t="s">
        <v>523</v>
      </c>
      <c r="AR115" s="195" t="s">
        <v>524</v>
      </c>
      <c r="AS115" s="195" t="s">
        <v>521</v>
      </c>
      <c r="AT115" s="195" t="s">
        <v>527</v>
      </c>
      <c r="AU115" s="195" t="s">
        <v>520</v>
      </c>
      <c r="AV115" s="195" t="s">
        <v>522</v>
      </c>
      <c r="AW115" s="195" t="s">
        <v>525</v>
      </c>
      <c r="AX115" s="195" t="s">
        <v>526</v>
      </c>
      <c r="AZ115"/>
      <c r="BA115"/>
      <c r="BB115" s="90" t="s">
        <v>538</v>
      </c>
      <c r="BC115" s="149">
        <f>VLOOKUP(MIN($AO$114:$AO$608),$AO$114:$AX$608,2,0)</f>
        <v>194</v>
      </c>
      <c r="BD115" s="211"/>
      <c r="BE115" s="91" t="s">
        <v>681</v>
      </c>
      <c r="BF115" s="152" t="str">
        <f t="shared" si="126"/>
        <v>Egypte</v>
      </c>
      <c r="BG115" s="100"/>
    </row>
    <row r="116" spans="1:59" s="90" customFormat="1" ht="14.25" customHeight="1" x14ac:dyDescent="0.2">
      <c r="A116" s="127">
        <v>87</v>
      </c>
      <c r="B116" s="144" t="s">
        <v>509</v>
      </c>
      <c r="C116" s="142">
        <v>0.14583333333333334</v>
      </c>
      <c r="D116" s="48" t="str">
        <f>IF(AA63=3,Z63,Groepsloting!B106)</f>
        <v>1e poule K</v>
      </c>
      <c r="E116" s="89" t="s">
        <v>5</v>
      </c>
      <c r="F116" s="49" t="str">
        <f>IF(MIN($AQ$98:$AQ$109)=3,$BC$125,"3e Poule DEIJL")</f>
        <v>3e Poule DEIJL</v>
      </c>
      <c r="G116" s="17"/>
      <c r="H116" s="79" t="s">
        <v>5</v>
      </c>
      <c r="I116" s="17"/>
      <c r="J116" s="19">
        <f t="shared" si="122"/>
        <v>0</v>
      </c>
      <c r="K116" s="80" t="s">
        <v>503</v>
      </c>
      <c r="L116" s="157"/>
      <c r="M116"/>
      <c r="N116"/>
      <c r="O116"/>
      <c r="P116"/>
      <c r="Q116"/>
      <c r="R116"/>
      <c r="S116"/>
      <c r="T116"/>
      <c r="U116"/>
      <c r="V116"/>
      <c r="W116" s="177"/>
      <c r="X116" s="66"/>
      <c r="Y116" s="4"/>
      <c r="Z116" s="4"/>
      <c r="AA116" s="4"/>
      <c r="AB116" s="4"/>
      <c r="AC116" s="4"/>
      <c r="AD116" s="4"/>
      <c r="AE116" s="4"/>
      <c r="AF116" s="4"/>
      <c r="AG116"/>
      <c r="AH116"/>
      <c r="AI116"/>
      <c r="AJ116"/>
      <c r="AK116"/>
      <c r="AL116"/>
      <c r="AM116"/>
      <c r="AN116"/>
      <c r="AO116" s="148">
        <f t="shared" si="125"/>
        <v>8.9249000000000009</v>
      </c>
      <c r="AP116" s="195">
        <v>3</v>
      </c>
      <c r="AQ116" s="195" t="s">
        <v>519</v>
      </c>
      <c r="AR116" s="195" t="s">
        <v>520</v>
      </c>
      <c r="AS116" s="195" t="s">
        <v>521</v>
      </c>
      <c r="AT116" s="195" t="s">
        <v>527</v>
      </c>
      <c r="AU116" s="195" t="s">
        <v>523</v>
      </c>
      <c r="AV116" s="195" t="s">
        <v>524</v>
      </c>
      <c r="AW116" s="195" t="s">
        <v>525</v>
      </c>
      <c r="AX116" s="195" t="s">
        <v>526</v>
      </c>
      <c r="AZ116"/>
      <c r="BA116"/>
      <c r="BB116" s="91" t="s">
        <v>435</v>
      </c>
      <c r="BC116"/>
      <c r="BD116"/>
      <c r="BE116" t="str">
        <f t="shared" ref="BE116:BE119" si="127">BE45</f>
        <v>Spanje</v>
      </c>
      <c r="BF116" s="152" t="str">
        <f t="shared" si="126"/>
        <v>Iran</v>
      </c>
      <c r="BG116" s="100"/>
    </row>
    <row r="117" spans="1:59" s="90" customFormat="1" ht="14.25" customHeight="1" x14ac:dyDescent="0.2">
      <c r="A117" s="127"/>
      <c r="B117" s="178"/>
      <c r="C117" s="179"/>
      <c r="D117" s="20"/>
      <c r="E117" s="20"/>
      <c r="F117" s="20"/>
      <c r="G117" s="20"/>
      <c r="H117" s="181"/>
      <c r="I117" s="20"/>
      <c r="J117" s="182"/>
      <c r="K117" s="68"/>
      <c r="L117" s="157"/>
      <c r="M117"/>
      <c r="N117"/>
      <c r="O117"/>
      <c r="P117"/>
      <c r="Q117"/>
      <c r="R117"/>
      <c r="S117"/>
      <c r="T117"/>
      <c r="U117"/>
      <c r="V117"/>
      <c r="W117" s="177"/>
      <c r="X117" s="66"/>
      <c r="Y117" s="4"/>
      <c r="Z117" s="4"/>
      <c r="AA117" s="4"/>
      <c r="AB117" s="4"/>
      <c r="AC117" s="4"/>
      <c r="AD117" s="4"/>
      <c r="AE117" s="4"/>
      <c r="AF117" s="4"/>
      <c r="AG117"/>
      <c r="AH117"/>
      <c r="AI117"/>
      <c r="AJ117"/>
      <c r="AK117"/>
      <c r="AL117"/>
      <c r="AM117"/>
      <c r="AN117"/>
      <c r="AO117" s="148">
        <f t="shared" si="125"/>
        <v>8.9258000000000006</v>
      </c>
      <c r="AP117" s="195">
        <v>4</v>
      </c>
      <c r="AQ117" s="195" t="s">
        <v>519</v>
      </c>
      <c r="AR117" s="195" t="s">
        <v>520</v>
      </c>
      <c r="AS117" s="195" t="s">
        <v>521</v>
      </c>
      <c r="AT117" s="195" t="s">
        <v>527</v>
      </c>
      <c r="AU117" s="195" t="s">
        <v>523</v>
      </c>
      <c r="AV117" s="195" t="s">
        <v>522</v>
      </c>
      <c r="AW117" s="195" t="s">
        <v>525</v>
      </c>
      <c r="AX117" s="195" t="s">
        <v>526</v>
      </c>
      <c r="AZ117" s="4" t="s">
        <v>537</v>
      </c>
      <c r="BA117"/>
      <c r="BB117" s="92" t="s">
        <v>436</v>
      </c>
      <c r="BC117" s="92" t="s">
        <v>711</v>
      </c>
      <c r="BD117" s="4"/>
      <c r="BE117" t="str">
        <f t="shared" si="127"/>
        <v>Kaapverdië</v>
      </c>
      <c r="BF117" s="152" t="str">
        <f t="shared" si="126"/>
        <v>Nieuw-Zeeland</v>
      </c>
      <c r="BG117" s="100"/>
    </row>
    <row r="118" spans="1:59" s="90" customFormat="1" ht="14.25" customHeight="1" x14ac:dyDescent="0.2">
      <c r="A118" s="127"/>
      <c r="B118" s="185" t="str">
        <f>Groepsloting!$B$140</f>
        <v>Achtste finales</v>
      </c>
      <c r="C118" s="186"/>
      <c r="D118" s="20"/>
      <c r="E118" s="20"/>
      <c r="F118" s="20"/>
      <c r="G118" s="20"/>
      <c r="H118" s="181"/>
      <c r="I118" s="20"/>
      <c r="J118" s="182"/>
      <c r="K118" s="68"/>
      <c r="L118" s="157"/>
      <c r="M118"/>
      <c r="N118"/>
      <c r="O118"/>
      <c r="P118"/>
      <c r="Q118"/>
      <c r="R118"/>
      <c r="S118"/>
      <c r="T118"/>
      <c r="U118"/>
      <c r="V118"/>
      <c r="W118" s="177"/>
      <c r="X118" s="66"/>
      <c r="Y118" s="4"/>
      <c r="Z118" s="4"/>
      <c r="AA118" s="4"/>
      <c r="AB118" s="4"/>
      <c r="AC118" s="4"/>
      <c r="AD118" s="4"/>
      <c r="AE118" s="4"/>
      <c r="AF118" s="4"/>
      <c r="AG118"/>
      <c r="AH118"/>
      <c r="AI118"/>
      <c r="AJ118"/>
      <c r="AK118"/>
      <c r="AL118"/>
      <c r="AM118"/>
      <c r="AN118"/>
      <c r="AO118" s="148">
        <f t="shared" si="125"/>
        <v>8.922600000000001</v>
      </c>
      <c r="AP118" s="195">
        <v>5</v>
      </c>
      <c r="AQ118" s="195" t="s">
        <v>519</v>
      </c>
      <c r="AR118" s="195" t="s">
        <v>524</v>
      </c>
      <c r="AS118" s="195" t="s">
        <v>521</v>
      </c>
      <c r="AT118" s="195" t="s">
        <v>527</v>
      </c>
      <c r="AU118" s="195" t="s">
        <v>520</v>
      </c>
      <c r="AV118" s="195" t="s">
        <v>522</v>
      </c>
      <c r="AW118" s="195" t="s">
        <v>525</v>
      </c>
      <c r="AX118" s="195" t="s">
        <v>526</v>
      </c>
      <c r="AZ118">
        <v>6</v>
      </c>
      <c r="BA118" s="4" t="s">
        <v>510</v>
      </c>
      <c r="BB118" s="138">
        <v>74</v>
      </c>
      <c r="BC118" t="str">
        <f>IFERROR(VLOOKUP(VLOOKUP(MIN($AO$114:$AO$608),$AO$114:$AX$608,6,0),$AN$98:$AP$109,3,0), BA118)</f>
        <v>Australië</v>
      </c>
      <c r="BD118" s="90" t="str">
        <f>VLOOKUP(MAX($AO$114:$AO$608),$AO$114:$AX$608,6,0)</f>
        <v>3C</v>
      </c>
      <c r="BE118" t="str">
        <f t="shared" si="127"/>
        <v>Saoedi-Arabië</v>
      </c>
      <c r="BF118" s="100" t="str">
        <f t="shared" ref="BF118:BF121" si="128">BE45</f>
        <v>Spanje</v>
      </c>
      <c r="BG118" s="100"/>
    </row>
    <row r="119" spans="1:59" s="90" customFormat="1" ht="14.25" customHeight="1" x14ac:dyDescent="0.2">
      <c r="A119" s="127"/>
      <c r="B119" s="62" t="str">
        <f>Groepsloting!$B$122</f>
        <v>Datum</v>
      </c>
      <c r="C119" s="131"/>
      <c r="D119" s="58" t="str">
        <f>Groepsloting!$B$119</f>
        <v>Wedstrijd</v>
      </c>
      <c r="E119" s="59"/>
      <c r="F119" s="58"/>
      <c r="G119" s="58"/>
      <c r="H119" s="192" t="str">
        <f>Groepsloting!$B$120</f>
        <v>Uitslag</v>
      </c>
      <c r="I119" s="58"/>
      <c r="J119" s="64" t="str">
        <f>Groepsloting!$B$121</f>
        <v>Toto</v>
      </c>
      <c r="K119" s="68"/>
      <c r="L119" s="157"/>
      <c r="M119"/>
      <c r="N119"/>
      <c r="O119"/>
      <c r="P119"/>
      <c r="Q119"/>
      <c r="R119"/>
      <c r="S119"/>
      <c r="T119"/>
      <c r="U119"/>
      <c r="V119"/>
      <c r="W119" s="177"/>
      <c r="X119" s="66"/>
      <c r="Y119" s="4"/>
      <c r="Z119" s="4"/>
      <c r="AA119" s="4"/>
      <c r="AB119" s="4"/>
      <c r="AC119" s="4"/>
      <c r="AD119" s="4"/>
      <c r="AE119" s="4"/>
      <c r="AF119" s="4"/>
      <c r="AG119"/>
      <c r="AH119"/>
      <c r="AI119"/>
      <c r="AJ119"/>
      <c r="AK119"/>
      <c r="AL119"/>
      <c r="AM119"/>
      <c r="AN119"/>
      <c r="AO119" s="148">
        <f t="shared" si="125"/>
        <v>8.9256000000000011</v>
      </c>
      <c r="AP119" s="195">
        <v>6</v>
      </c>
      <c r="AQ119" s="195" t="s">
        <v>519</v>
      </c>
      <c r="AR119" s="195" t="s">
        <v>524</v>
      </c>
      <c r="AS119" s="195" t="s">
        <v>520</v>
      </c>
      <c r="AT119" s="195" t="s">
        <v>527</v>
      </c>
      <c r="AU119" s="195" t="s">
        <v>523</v>
      </c>
      <c r="AV119" s="195" t="s">
        <v>522</v>
      </c>
      <c r="AW119" s="195" t="s">
        <v>525</v>
      </c>
      <c r="AX119" s="195" t="s">
        <v>526</v>
      </c>
      <c r="AZ119">
        <v>8</v>
      </c>
      <c r="BA119" t="s">
        <v>511</v>
      </c>
      <c r="BB119" s="138">
        <v>77</v>
      </c>
      <c r="BC119" t="str">
        <f>IFERROR(VLOOKUP(VLOOKUP(MIN($AO$114:$AO$608),$AO$114:$AX$608,8,0),$AN$98:$AP$109,3,0), BA119)</f>
        <v>Zweden</v>
      </c>
      <c r="BD119" s="90" t="str">
        <f>VLOOKUP(MAX($AO$114:$AO$608),$AO$114:$AX$608,8,0)</f>
        <v>3F</v>
      </c>
      <c r="BE119" t="str">
        <f t="shared" si="127"/>
        <v>Uruguay</v>
      </c>
      <c r="BF119" s="100" t="str">
        <f t="shared" si="128"/>
        <v>Kaapverdië</v>
      </c>
      <c r="BG119" s="100"/>
    </row>
    <row r="120" spans="1:59" s="90" customFormat="1" ht="14.25" customHeight="1" x14ac:dyDescent="0.2">
      <c r="A120" s="127">
        <v>90</v>
      </c>
      <c r="B120" s="144" t="s">
        <v>509</v>
      </c>
      <c r="C120" s="142">
        <v>0.79166666666666663</v>
      </c>
      <c r="D120" s="48" t="str">
        <f>IF(J101=1,D101,IF(J101=2,F101,Groepsloting!B124))</f>
        <v>vul winnaar in ZF1</v>
      </c>
      <c r="E120" s="89" t="s">
        <v>5</v>
      </c>
      <c r="F120" s="49" t="str">
        <f>IF(J104=1,D104,IF(J104=2,F104,Groepsloting!B127))</f>
        <v>vul winnaar in ZF4</v>
      </c>
      <c r="G120" s="17"/>
      <c r="H120" s="79" t="s">
        <v>5</v>
      </c>
      <c r="I120" s="17"/>
      <c r="J120" s="19">
        <f t="shared" ref="J120:J127" si="129">IF(AND(G120="",I120=""),0,IF(G120&gt;I120,1,IF(G120&lt;I120,2,3)))</f>
        <v>0</v>
      </c>
      <c r="K120" s="80" t="s">
        <v>78</v>
      </c>
      <c r="L120" s="157"/>
      <c r="M120"/>
      <c r="N120"/>
      <c r="O120"/>
      <c r="P120"/>
      <c r="Q120"/>
      <c r="R120"/>
      <c r="S120"/>
      <c r="T120"/>
      <c r="U120"/>
      <c r="V120"/>
      <c r="W120" s="177"/>
      <c r="X120" s="66"/>
      <c r="Y120" s="4"/>
      <c r="Z120" s="4"/>
      <c r="AA120" s="4"/>
      <c r="AB120" s="4"/>
      <c r="AC120" s="4"/>
      <c r="AD120" s="4"/>
      <c r="AE120" s="4"/>
      <c r="AF120" s="4"/>
      <c r="AG120"/>
      <c r="AH120"/>
      <c r="AI120"/>
      <c r="AJ120"/>
      <c r="AK120"/>
      <c r="AL120"/>
      <c r="AM120"/>
      <c r="AN120"/>
      <c r="AO120" s="148">
        <f t="shared" si="125"/>
        <v>8.9259000000000022</v>
      </c>
      <c r="AP120" s="195">
        <v>7</v>
      </c>
      <c r="AQ120" s="195" t="s">
        <v>519</v>
      </c>
      <c r="AR120" s="195" t="s">
        <v>524</v>
      </c>
      <c r="AS120" s="195" t="s">
        <v>521</v>
      </c>
      <c r="AT120" s="195" t="s">
        <v>527</v>
      </c>
      <c r="AU120" s="195" t="s">
        <v>523</v>
      </c>
      <c r="AV120" s="195" t="s">
        <v>522</v>
      </c>
      <c r="AW120" s="195" t="s">
        <v>525</v>
      </c>
      <c r="AX120" s="195" t="s">
        <v>526</v>
      </c>
      <c r="AZ120">
        <v>3</v>
      </c>
      <c r="BA120" t="s">
        <v>512</v>
      </c>
      <c r="BB120" s="138">
        <v>79</v>
      </c>
      <c r="BC120" t="str">
        <f>IFERROR(VLOOKUP(VLOOKUP(MIN($AO$114:$AO$608),$AO$114:$AX$608,3,0),$AN$98:$AP$109,3,0), BA120)</f>
        <v>Ivoorkust</v>
      </c>
      <c r="BD120" s="90" t="str">
        <f>VLOOKUP(MAX($AO$114:$AO$608),$AO$114:$AX$608,3,0)</f>
        <v>3H</v>
      </c>
      <c r="BE120" t="str">
        <f t="shared" ref="BE120:BE123" si="130">BE57</f>
        <v>Argentinië</v>
      </c>
      <c r="BF120" s="100" t="str">
        <f t="shared" si="128"/>
        <v>Saoedi-Arabië</v>
      </c>
      <c r="BG120" s="100"/>
    </row>
    <row r="121" spans="1:59" s="90" customFormat="1" ht="14.25" customHeight="1" x14ac:dyDescent="0.2">
      <c r="A121" s="127">
        <v>89</v>
      </c>
      <c r="B121" s="144" t="s">
        <v>509</v>
      </c>
      <c r="C121" s="142">
        <v>0.95833333333333337</v>
      </c>
      <c r="D121" s="48" t="str">
        <f>IF(J103=1,D103,IF(J103=2,F103,Groepsloting!B126))</f>
        <v>vul winnaar in ZF3</v>
      </c>
      <c r="E121" s="89" t="s">
        <v>5</v>
      </c>
      <c r="F121" s="49" t="str">
        <f>IF(J106=1,D106,IF(J106=2,F106,Groepsloting!B129))</f>
        <v>vul winnaar in ZF6</v>
      </c>
      <c r="G121" s="17"/>
      <c r="H121" s="79" t="s">
        <v>5</v>
      </c>
      <c r="I121" s="17"/>
      <c r="J121" s="19">
        <f t="shared" si="129"/>
        <v>0</v>
      </c>
      <c r="K121" s="80" t="s">
        <v>79</v>
      </c>
      <c r="L121" s="157"/>
      <c r="M121"/>
      <c r="N121"/>
      <c r="O121"/>
      <c r="P121"/>
      <c r="Q121"/>
      <c r="R121"/>
      <c r="S121"/>
      <c r="T121"/>
      <c r="U121"/>
      <c r="V121"/>
      <c r="W121" s="177"/>
      <c r="X121" s="66"/>
      <c r="Y121" s="4"/>
      <c r="Z121" s="4"/>
      <c r="AA121" s="4"/>
      <c r="AB121" s="4"/>
      <c r="AC121" s="4"/>
      <c r="AD121" s="4"/>
      <c r="AE121" s="4"/>
      <c r="AF121" s="4"/>
      <c r="AG121"/>
      <c r="AH121"/>
      <c r="AI121"/>
      <c r="AJ121"/>
      <c r="AK121"/>
      <c r="AL121"/>
      <c r="AM121"/>
      <c r="AN121"/>
      <c r="AO121" s="148">
        <f t="shared" si="125"/>
        <v>8.924100000000001</v>
      </c>
      <c r="AP121" s="195">
        <v>8</v>
      </c>
      <c r="AQ121" s="195" t="s">
        <v>519</v>
      </c>
      <c r="AR121" s="195" t="s">
        <v>524</v>
      </c>
      <c r="AS121" s="195" t="s">
        <v>520</v>
      </c>
      <c r="AT121" s="195" t="s">
        <v>527</v>
      </c>
      <c r="AU121" s="195" t="s">
        <v>523</v>
      </c>
      <c r="AV121" s="195" t="s">
        <v>522</v>
      </c>
      <c r="AW121" s="195" t="s">
        <v>525</v>
      </c>
      <c r="AX121" s="195" t="s">
        <v>521</v>
      </c>
      <c r="AZ121">
        <v>10</v>
      </c>
      <c r="BA121" t="s">
        <v>513</v>
      </c>
      <c r="BB121" s="138">
        <v>80</v>
      </c>
      <c r="BC121" t="str">
        <f>IFERROR(VLOOKUP(VLOOKUP(MIN($AO$114:$AO$608),$AO$114:$AX$608,10,0),$AN$98:$AP$109,3,0), BA121)</f>
        <v>Noorwegen</v>
      </c>
      <c r="BD121" s="90" t="str">
        <f>VLOOKUP(MAX($AO$114:$AO$608),$AO$114:$AX$608,10,0)</f>
        <v>3K</v>
      </c>
      <c r="BE121" t="str">
        <f t="shared" si="130"/>
        <v>Algerije</v>
      </c>
      <c r="BF121" s="100" t="str">
        <f t="shared" si="128"/>
        <v>Uruguay</v>
      </c>
      <c r="BG121" s="100"/>
    </row>
    <row r="122" spans="1:59" s="90" customFormat="1" ht="14.25" customHeight="1" x14ac:dyDescent="0.2">
      <c r="A122" s="127">
        <v>91</v>
      </c>
      <c r="B122" s="144" t="s">
        <v>613</v>
      </c>
      <c r="C122" s="142">
        <v>0.91666666666666663</v>
      </c>
      <c r="D122" s="48" t="str">
        <f>IF(J102=1,D102,IF(J102=2,F102,Groepsloting!B125))</f>
        <v>vul winnaar in ZF2</v>
      </c>
      <c r="E122" s="89" t="s">
        <v>5</v>
      </c>
      <c r="F122" s="49" t="str">
        <f>IF(J105=1,D105,IF(J105=2,F105,Groepsloting!B128))</f>
        <v>vul winnaar in ZF5</v>
      </c>
      <c r="G122" s="17"/>
      <c r="H122" s="79" t="s">
        <v>5</v>
      </c>
      <c r="I122" s="17"/>
      <c r="J122" s="19">
        <f t="shared" si="129"/>
        <v>0</v>
      </c>
      <c r="K122" s="80" t="s">
        <v>80</v>
      </c>
      <c r="L122" s="157"/>
      <c r="M122"/>
      <c r="N122"/>
      <c r="O122"/>
      <c r="P122"/>
      <c r="Q122"/>
      <c r="R122"/>
      <c r="S122"/>
      <c r="T122"/>
      <c r="U122"/>
      <c r="V122"/>
      <c r="W122" s="177"/>
      <c r="X122" s="66"/>
      <c r="Y122" s="4"/>
      <c r="Z122" s="4"/>
      <c r="AA122" s="4"/>
      <c r="AB122" s="4"/>
      <c r="AC122" s="4"/>
      <c r="AD122" s="4"/>
      <c r="AE122" s="4"/>
      <c r="AF122" s="4"/>
      <c r="AG122"/>
      <c r="AH122"/>
      <c r="AI122"/>
      <c r="AJ122"/>
      <c r="AK122"/>
      <c r="AL122"/>
      <c r="AM122"/>
      <c r="AN122"/>
      <c r="AO122" s="148">
        <f t="shared" si="125"/>
        <v>8.9253999999999998</v>
      </c>
      <c r="AP122" s="195">
        <v>9</v>
      </c>
      <c r="AQ122" s="195" t="s">
        <v>519</v>
      </c>
      <c r="AR122" s="195" t="s">
        <v>524</v>
      </c>
      <c r="AS122" s="195" t="s">
        <v>520</v>
      </c>
      <c r="AT122" s="195" t="s">
        <v>527</v>
      </c>
      <c r="AU122" s="195" t="s">
        <v>523</v>
      </c>
      <c r="AV122" s="195" t="s">
        <v>522</v>
      </c>
      <c r="AW122" s="195" t="s">
        <v>521</v>
      </c>
      <c r="AX122" s="195" t="s">
        <v>526</v>
      </c>
      <c r="AZ122">
        <v>7</v>
      </c>
      <c r="BA122" t="s">
        <v>514</v>
      </c>
      <c r="BB122" s="138">
        <v>82</v>
      </c>
      <c r="BC122" t="str">
        <f>IFERROR(VLOOKUP(VLOOKUP(MIN($AO$114:$AO$608),$AO$114:$AX$608,7,0),$AN$98:$AP$109,3,0), BA122)</f>
        <v>Tsjechië</v>
      </c>
      <c r="BD122" s="90" t="str">
        <f>VLOOKUP(MAX($AO$114:$AO$608),$AO$114:$AX$608,7,0)</f>
        <v>3A</v>
      </c>
      <c r="BE122" t="str">
        <f t="shared" si="130"/>
        <v>Oostenrijk</v>
      </c>
      <c r="BF122" s="100" t="str">
        <f t="shared" ref="BF122:BF125" si="131">BE51</f>
        <v>Irak</v>
      </c>
      <c r="BG122" s="100"/>
    </row>
    <row r="123" spans="1:59" s="90" customFormat="1" ht="14.25" customHeight="1" x14ac:dyDescent="0.2">
      <c r="A123" s="127">
        <v>92</v>
      </c>
      <c r="B123" s="144" t="s">
        <v>614</v>
      </c>
      <c r="C123" s="142">
        <v>8.3333333333333329E-2</v>
      </c>
      <c r="D123" s="48" t="str">
        <f>IF(J107=1,D107,IF(J107=2,F107,Groepsloting!B130))</f>
        <v>vul winnaar in ZF7</v>
      </c>
      <c r="E123" s="89" t="s">
        <v>5</v>
      </c>
      <c r="F123" s="49" t="str">
        <f>IF(J108=1,D108,IF(J108=2,F108,Groepsloting!B131))</f>
        <v>vul winnaar in ZF8</v>
      </c>
      <c r="G123" s="17"/>
      <c r="H123" s="79" t="s">
        <v>5</v>
      </c>
      <c r="I123" s="17"/>
      <c r="J123" s="19">
        <f t="shared" si="129"/>
        <v>0</v>
      </c>
      <c r="K123" s="80" t="s">
        <v>81</v>
      </c>
      <c r="L123" s="157"/>
      <c r="M123"/>
      <c r="N123"/>
      <c r="O123"/>
      <c r="P123"/>
      <c r="Q123"/>
      <c r="R123"/>
      <c r="S123"/>
      <c r="T123"/>
      <c r="U123"/>
      <c r="V123"/>
      <c r="W123" s="177"/>
      <c r="X123" s="66"/>
      <c r="Y123" s="4"/>
      <c r="Z123" s="4"/>
      <c r="AA123" s="4"/>
      <c r="AB123" s="4"/>
      <c r="AC123" s="4"/>
      <c r="AD123" s="4"/>
      <c r="AE123" s="4"/>
      <c r="AF123" s="4"/>
      <c r="AG123"/>
      <c r="AH123"/>
      <c r="AI123"/>
      <c r="AJ123"/>
      <c r="AK123"/>
      <c r="AL123"/>
      <c r="AM123"/>
      <c r="AN123"/>
      <c r="AO123" s="148">
        <f t="shared" si="125"/>
        <v>8.9268999999999998</v>
      </c>
      <c r="AP123" s="195">
        <v>10</v>
      </c>
      <c r="AQ123" s="195" t="s">
        <v>523</v>
      </c>
      <c r="AR123" s="195" t="s">
        <v>524</v>
      </c>
      <c r="AS123" s="195" t="s">
        <v>521</v>
      </c>
      <c r="AT123" s="195" t="s">
        <v>528</v>
      </c>
      <c r="AU123" s="195" t="s">
        <v>520</v>
      </c>
      <c r="AV123" s="195" t="s">
        <v>522</v>
      </c>
      <c r="AW123" s="195" t="s">
        <v>525</v>
      </c>
      <c r="AX123" s="195" t="s">
        <v>526</v>
      </c>
      <c r="AZ123">
        <v>5</v>
      </c>
      <c r="BA123" t="s">
        <v>515</v>
      </c>
      <c r="BB123" s="138">
        <v>81</v>
      </c>
      <c r="BC123" t="str">
        <f>IFERROR(VLOOKUP(VLOOKUP(MIN($AO$114:$AO$608),$AO$114:$AX$608,5,0),$AN$98:$AP$109,3,0), BA123)</f>
        <v>Algerije</v>
      </c>
      <c r="BD123" s="90" t="str">
        <f>VLOOKUP(MAX($AO$114:$AO$608),$AO$114:$AX$608,5,0)</f>
        <v>3B</v>
      </c>
      <c r="BE123" t="str">
        <f t="shared" si="130"/>
        <v>Jordanië</v>
      </c>
      <c r="BF123" s="100" t="str">
        <f t="shared" si="131"/>
        <v>Frankrijk</v>
      </c>
      <c r="BG123" s="100"/>
    </row>
    <row r="124" spans="1:59" s="90" customFormat="1" ht="14.25" customHeight="1" x14ac:dyDescent="0.2">
      <c r="A124" s="127">
        <v>93</v>
      </c>
      <c r="B124" s="144" t="s">
        <v>614</v>
      </c>
      <c r="C124" s="142">
        <v>0.875</v>
      </c>
      <c r="D124" s="48" t="str">
        <f>IF(J112=1,D112,IF(J112=2,F112,Groepsloting!B135))</f>
        <v>vul winnaar in ZF12</v>
      </c>
      <c r="E124" s="89" t="s">
        <v>5</v>
      </c>
      <c r="F124" s="49" t="str">
        <f>IF(J111=1,D111,IF(J111=2,F111,Groepsloting!B134))</f>
        <v>vul winnaar in ZF11</v>
      </c>
      <c r="G124" s="17"/>
      <c r="H124" s="79" t="s">
        <v>5</v>
      </c>
      <c r="I124" s="17"/>
      <c r="J124" s="19">
        <f t="shared" si="129"/>
        <v>0</v>
      </c>
      <c r="K124" s="80" t="s">
        <v>82</v>
      </c>
      <c r="L124" s="157"/>
      <c r="M124"/>
      <c r="N124"/>
      <c r="O124"/>
      <c r="P124"/>
      <c r="Q124"/>
      <c r="R124"/>
      <c r="S124"/>
      <c r="T124"/>
      <c r="U124"/>
      <c r="V124"/>
      <c r="W124" s="177"/>
      <c r="X124" s="66"/>
      <c r="Y124" s="4"/>
      <c r="Z124" s="4"/>
      <c r="AA124" s="4"/>
      <c r="AB124" s="4"/>
      <c r="AC124" s="4"/>
      <c r="AD124" s="4"/>
      <c r="AE124" s="4"/>
      <c r="AF124" s="4"/>
      <c r="AG124"/>
      <c r="AH124"/>
      <c r="AI124"/>
      <c r="AJ124"/>
      <c r="AK124"/>
      <c r="AL124"/>
      <c r="AM124"/>
      <c r="AN124"/>
      <c r="AO124" s="148">
        <f t="shared" si="125"/>
        <v>8.9265000000000008</v>
      </c>
      <c r="AP124" s="195">
        <v>11</v>
      </c>
      <c r="AQ124" s="195" t="s">
        <v>519</v>
      </c>
      <c r="AR124" s="195" t="s">
        <v>520</v>
      </c>
      <c r="AS124" s="195" t="s">
        <v>521</v>
      </c>
      <c r="AT124" s="195" t="s">
        <v>528</v>
      </c>
      <c r="AU124" s="195" t="s">
        <v>523</v>
      </c>
      <c r="AV124" s="195" t="s">
        <v>524</v>
      </c>
      <c r="AW124" s="195" t="s">
        <v>525</v>
      </c>
      <c r="AX124" s="195" t="s">
        <v>526</v>
      </c>
      <c r="AZ124">
        <v>4</v>
      </c>
      <c r="BA124" t="s">
        <v>516</v>
      </c>
      <c r="BB124" s="138">
        <v>85</v>
      </c>
      <c r="BC124" t="str">
        <f>IFERROR(VLOOKUP(VLOOKUP(MIN($AO$114:$AO$608),$AO$114:$AX$608,4,0),$AN$98:$AP$109,3,0), BA124)</f>
        <v>Egypte</v>
      </c>
      <c r="BD124" s="90" t="str">
        <f>VLOOKUP(MAX($AO$114:$AO$608),$AO$114:$AX$608,4,0)</f>
        <v>3E</v>
      </c>
      <c r="BE124"/>
      <c r="BF124" s="100" t="str">
        <f t="shared" si="131"/>
        <v>Senegal</v>
      </c>
      <c r="BG124" s="100"/>
    </row>
    <row r="125" spans="1:59" s="90" customFormat="1" ht="14.25" customHeight="1" x14ac:dyDescent="0.2">
      <c r="A125" s="127">
        <v>94</v>
      </c>
      <c r="B125" s="144" t="s">
        <v>615</v>
      </c>
      <c r="C125" s="142">
        <v>8.3333333333333329E-2</v>
      </c>
      <c r="D125" s="48" t="str">
        <f>IF(J110=1,D110,IF(J110=2,F110,Groepsloting!B133))</f>
        <v>vul winnaar in ZF10</v>
      </c>
      <c r="E125" s="89" t="s">
        <v>5</v>
      </c>
      <c r="F125" s="49" t="str">
        <f>IF(J109=1,D109,IF(J109=2,F109,Groepsloting!B132))</f>
        <v>vul winnaar in ZF9</v>
      </c>
      <c r="G125" s="17"/>
      <c r="H125" s="79" t="s">
        <v>5</v>
      </c>
      <c r="I125" s="17"/>
      <c r="J125" s="19">
        <f t="shared" si="129"/>
        <v>0</v>
      </c>
      <c r="K125" s="80" t="s">
        <v>83</v>
      </c>
      <c r="L125" s="157"/>
      <c r="M125"/>
      <c r="N125"/>
      <c r="O125"/>
      <c r="P125"/>
      <c r="Q125"/>
      <c r="R125"/>
      <c r="S125"/>
      <c r="T125"/>
      <c r="U125"/>
      <c r="V125"/>
      <c r="W125" s="177"/>
      <c r="X125" s="66"/>
      <c r="Y125" s="4"/>
      <c r="Z125" s="4"/>
      <c r="AA125" s="4"/>
      <c r="AB125" s="4"/>
      <c r="AC125" s="4"/>
      <c r="AD125" s="4"/>
      <c r="AE125" s="4"/>
      <c r="AF125" s="4"/>
      <c r="AG125"/>
      <c r="AH125"/>
      <c r="AI125"/>
      <c r="AJ125"/>
      <c r="AK125"/>
      <c r="AL125"/>
      <c r="AM125"/>
      <c r="AN125"/>
      <c r="AO125" s="148">
        <f t="shared" si="125"/>
        <v>8.9274000000000004</v>
      </c>
      <c r="AP125" s="195">
        <v>12</v>
      </c>
      <c r="AQ125" s="195" t="s">
        <v>519</v>
      </c>
      <c r="AR125" s="195" t="s">
        <v>520</v>
      </c>
      <c r="AS125" s="195" t="s">
        <v>521</v>
      </c>
      <c r="AT125" s="195" t="s">
        <v>528</v>
      </c>
      <c r="AU125" s="195" t="s">
        <v>523</v>
      </c>
      <c r="AV125" s="195" t="s">
        <v>522</v>
      </c>
      <c r="AW125" s="195" t="s">
        <v>525</v>
      </c>
      <c r="AX125" s="195" t="s">
        <v>526</v>
      </c>
      <c r="AZ125">
        <v>9</v>
      </c>
      <c r="BA125" t="s">
        <v>517</v>
      </c>
      <c r="BB125" s="138">
        <v>87</v>
      </c>
      <c r="BC125" t="str">
        <f>IFERROR(VLOOKUP(VLOOKUP(MIN($AO$114:$AO$608),$AO$114:$AX$608,9,0),$AN$98:$AP$109,3,0), BA125)</f>
        <v>Panama</v>
      </c>
      <c r="BD125" s="90" t="str">
        <f>VLOOKUP(MAX($AO$114:$AO$608),$AO$114:$AX$608,9,0)</f>
        <v>3L</v>
      </c>
      <c r="BE125" s="91" t="s">
        <v>682</v>
      </c>
      <c r="BF125" s="100" t="str">
        <f t="shared" si="131"/>
        <v>Noorwegen</v>
      </c>
      <c r="BG125" s="100"/>
    </row>
    <row r="126" spans="1:59" s="90" customFormat="1" ht="14.25" customHeight="1" x14ac:dyDescent="0.2">
      <c r="A126" s="127">
        <v>95</v>
      </c>
      <c r="B126" s="144" t="s">
        <v>615</v>
      </c>
      <c r="C126" s="142">
        <v>0.75</v>
      </c>
      <c r="D126" s="48" t="str">
        <f>IF(J115=1,D115,IF(J115=2,F115,Groepsloting!B138))</f>
        <v>vul winnaar in ZF15</v>
      </c>
      <c r="E126" s="89" t="s">
        <v>5</v>
      </c>
      <c r="F126" s="49" t="str">
        <f>IF(J114=1,D114,IF(J114=2,F114,Groepsloting!B137))</f>
        <v>vul winnaar in ZF14</v>
      </c>
      <c r="G126" s="17"/>
      <c r="H126" s="79" t="s">
        <v>5</v>
      </c>
      <c r="I126" s="17"/>
      <c r="J126" s="19">
        <f t="shared" si="129"/>
        <v>0</v>
      </c>
      <c r="K126" s="80" t="s">
        <v>84</v>
      </c>
      <c r="L126" s="157"/>
      <c r="M126"/>
      <c r="N126"/>
      <c r="O126"/>
      <c r="P126"/>
      <c r="Q126"/>
      <c r="R126"/>
      <c r="S126"/>
      <c r="T126"/>
      <c r="U126"/>
      <c r="V126"/>
      <c r="W126" s="177"/>
      <c r="X126" s="66"/>
      <c r="Y126" s="4"/>
      <c r="Z126" s="4"/>
      <c r="AA126" s="4"/>
      <c r="AB126" s="4"/>
      <c r="AC126" s="4"/>
      <c r="AD126" s="4"/>
      <c r="AE126" s="4"/>
      <c r="AF126" s="4"/>
      <c r="AG126"/>
      <c r="AH126"/>
      <c r="AI126"/>
      <c r="AJ126"/>
      <c r="AK126"/>
      <c r="AL126"/>
      <c r="AM126"/>
      <c r="AN126"/>
      <c r="AO126" s="148">
        <f t="shared" si="125"/>
        <v>8.9242000000000008</v>
      </c>
      <c r="AP126" s="195">
        <v>13</v>
      </c>
      <c r="AQ126" s="195" t="s">
        <v>519</v>
      </c>
      <c r="AR126" s="195" t="s">
        <v>524</v>
      </c>
      <c r="AS126" s="195" t="s">
        <v>521</v>
      </c>
      <c r="AT126" s="195" t="s">
        <v>528</v>
      </c>
      <c r="AU126" s="195" t="s">
        <v>520</v>
      </c>
      <c r="AV126" s="195" t="s">
        <v>522</v>
      </c>
      <c r="AW126" s="195" t="s">
        <v>525</v>
      </c>
      <c r="AX126" s="195" t="s">
        <v>526</v>
      </c>
      <c r="AZ126"/>
      <c r="BA126"/>
      <c r="BB126"/>
      <c r="BC126"/>
      <c r="BD126"/>
      <c r="BE126" t="str">
        <f t="shared" ref="BE126:BE129" si="132">BE63</f>
        <v>Congo</v>
      </c>
      <c r="BF126" s="152"/>
      <c r="BG126" s="152"/>
    </row>
    <row r="127" spans="1:59" s="90" customFormat="1" ht="14.25" customHeight="1" x14ac:dyDescent="0.2">
      <c r="A127" s="127">
        <v>96</v>
      </c>
      <c r="B127" s="144" t="s">
        <v>615</v>
      </c>
      <c r="C127" s="142">
        <v>0.91666666666666663</v>
      </c>
      <c r="D127" s="48" t="str">
        <f>IF(J113=1,D113,IF(J113=2,F113,Groepsloting!B136))</f>
        <v>vul winnaar in ZF13</v>
      </c>
      <c r="E127" s="89" t="s">
        <v>5</v>
      </c>
      <c r="F127" s="49" t="str">
        <f>IF(J116=1,D116,IF(J116=2,F116,Groepsloting!B139))</f>
        <v>vul winnaar in ZF16</v>
      </c>
      <c r="G127" s="17"/>
      <c r="H127" s="79" t="s">
        <v>5</v>
      </c>
      <c r="I127" s="17"/>
      <c r="J127" s="19">
        <f t="shared" si="129"/>
        <v>0</v>
      </c>
      <c r="K127" s="80" t="s">
        <v>85</v>
      </c>
      <c r="L127" s="157"/>
      <c r="M127"/>
      <c r="N127"/>
      <c r="O127"/>
      <c r="P127"/>
      <c r="Q127"/>
      <c r="R127"/>
      <c r="S127"/>
      <c r="T127"/>
      <c r="U127"/>
      <c r="V127"/>
      <c r="W127" s="177"/>
      <c r="X127" s="66"/>
      <c r="Y127" s="4"/>
      <c r="Z127" s="4"/>
      <c r="AA127" s="4"/>
      <c r="AB127" s="4"/>
      <c r="AC127" s="4"/>
      <c r="AD127" s="4"/>
      <c r="AE127" s="4"/>
      <c r="AF127" s="4"/>
      <c r="AG127"/>
      <c r="AH127"/>
      <c r="AI127"/>
      <c r="AJ127"/>
      <c r="AK127"/>
      <c r="AL127"/>
      <c r="AM127"/>
      <c r="AN127"/>
      <c r="AO127" s="148">
        <f t="shared" si="125"/>
        <v>8.9272000000000009</v>
      </c>
      <c r="AP127" s="195">
        <v>14</v>
      </c>
      <c r="AQ127" s="195" t="s">
        <v>519</v>
      </c>
      <c r="AR127" s="195" t="s">
        <v>524</v>
      </c>
      <c r="AS127" s="195" t="s">
        <v>520</v>
      </c>
      <c r="AT127" s="195" t="s">
        <v>528</v>
      </c>
      <c r="AU127" s="195" t="s">
        <v>523</v>
      </c>
      <c r="AV127" s="195" t="s">
        <v>522</v>
      </c>
      <c r="AW127" s="195" t="s">
        <v>525</v>
      </c>
      <c r="AX127" s="195" t="s">
        <v>526</v>
      </c>
      <c r="AZ127"/>
      <c r="BA127"/>
      <c r="BB127"/>
      <c r="BC127"/>
      <c r="BD127"/>
      <c r="BE127" t="str">
        <f t="shared" si="132"/>
        <v>Portugal</v>
      </c>
      <c r="BF127" s="212" t="s">
        <v>688</v>
      </c>
      <c r="BG127" s="152"/>
    </row>
    <row r="128" spans="1:59" s="90" customFormat="1" ht="14.25" customHeight="1" x14ac:dyDescent="0.2">
      <c r="A128" s="127"/>
      <c r="B128" s="178"/>
      <c r="C128" s="179"/>
      <c r="D128" s="20"/>
      <c r="E128" s="20"/>
      <c r="F128" s="20"/>
      <c r="G128" s="182"/>
      <c r="H128" s="184"/>
      <c r="I128" s="182"/>
      <c r="J128" s="182"/>
      <c r="K128" s="68"/>
      <c r="L128" s="157"/>
      <c r="M128"/>
      <c r="N128"/>
      <c r="O128"/>
      <c r="P128"/>
      <c r="Q128"/>
      <c r="R128"/>
      <c r="S128"/>
      <c r="T128"/>
      <c r="U128"/>
      <c r="V128"/>
      <c r="W128" s="177"/>
      <c r="X128" s="66"/>
      <c r="Y128" s="4"/>
      <c r="Z128" s="4"/>
      <c r="AA128" s="4"/>
      <c r="AB128" s="4"/>
      <c r="AC128" s="4"/>
      <c r="AD128" s="4"/>
      <c r="AE128" s="4"/>
      <c r="AF128" s="4"/>
      <c r="AG128"/>
      <c r="AH128"/>
      <c r="AI128"/>
      <c r="AJ128"/>
      <c r="AK128"/>
      <c r="AL128"/>
      <c r="AM128"/>
      <c r="AN128"/>
      <c r="AO128" s="148">
        <f t="shared" si="125"/>
        <v>8.927500000000002</v>
      </c>
      <c r="AP128" s="195">
        <v>15</v>
      </c>
      <c r="AQ128" s="195" t="s">
        <v>519</v>
      </c>
      <c r="AR128" s="195" t="s">
        <v>524</v>
      </c>
      <c r="AS128" s="195" t="s">
        <v>521</v>
      </c>
      <c r="AT128" s="195" t="s">
        <v>528</v>
      </c>
      <c r="AU128" s="195" t="s">
        <v>523</v>
      </c>
      <c r="AV128" s="195" t="s">
        <v>522</v>
      </c>
      <c r="AW128" s="195" t="s">
        <v>525</v>
      </c>
      <c r="AX128" s="195" t="s">
        <v>526</v>
      </c>
      <c r="AZ128"/>
      <c r="BA128"/>
      <c r="BB128"/>
      <c r="BC128"/>
      <c r="BD128"/>
      <c r="BE128" t="str">
        <f t="shared" si="132"/>
        <v>Oezbekistan</v>
      </c>
      <c r="BF128" s="152" t="str">
        <f t="shared" ref="BF128:BF131" si="133">BE15</f>
        <v>Brazilië</v>
      </c>
      <c r="BG128" s="152"/>
    </row>
    <row r="129" spans="1:59" s="90" customFormat="1" ht="14.25" customHeight="1" x14ac:dyDescent="0.2">
      <c r="A129" s="127"/>
      <c r="B129" s="185" t="str">
        <f>Groepsloting!$B$149</f>
        <v>Kwartfinales</v>
      </c>
      <c r="C129" s="186"/>
      <c r="D129" s="20"/>
      <c r="E129" s="20"/>
      <c r="F129" s="20"/>
      <c r="G129" s="20"/>
      <c r="H129" s="184"/>
      <c r="I129" s="20"/>
      <c r="J129" s="182"/>
      <c r="K129" s="68"/>
      <c r="L129" s="157"/>
      <c r="M129"/>
      <c r="N129"/>
      <c r="O129"/>
      <c r="P129"/>
      <c r="Q129"/>
      <c r="R129"/>
      <c r="S129"/>
      <c r="T129"/>
      <c r="U129"/>
      <c r="V129"/>
      <c r="W129" s="177"/>
      <c r="X129" s="66"/>
      <c r="Y129" s="4"/>
      <c r="Z129" s="4"/>
      <c r="AA129" s="4"/>
      <c r="AB129" s="4"/>
      <c r="AC129" s="4"/>
      <c r="AD129" s="4"/>
      <c r="AE129" s="4"/>
      <c r="AF129" s="4"/>
      <c r="AG129"/>
      <c r="AH129"/>
      <c r="AI129"/>
      <c r="AJ129"/>
      <c r="AK129"/>
      <c r="AL129"/>
      <c r="AM129"/>
      <c r="AN129"/>
      <c r="AO129" s="148">
        <f t="shared" si="125"/>
        <v>8.9257000000000009</v>
      </c>
      <c r="AP129" s="195">
        <v>16</v>
      </c>
      <c r="AQ129" s="195" t="s">
        <v>519</v>
      </c>
      <c r="AR129" s="195" t="s">
        <v>524</v>
      </c>
      <c r="AS129" s="195" t="s">
        <v>520</v>
      </c>
      <c r="AT129" s="195" t="s">
        <v>528</v>
      </c>
      <c r="AU129" s="195" t="s">
        <v>523</v>
      </c>
      <c r="AV129" s="195" t="s">
        <v>522</v>
      </c>
      <c r="AW129" s="195" t="s">
        <v>525</v>
      </c>
      <c r="AX129" s="195" t="s">
        <v>521</v>
      </c>
      <c r="AZ129"/>
      <c r="BA129"/>
      <c r="BB129"/>
      <c r="BC129"/>
      <c r="BD129"/>
      <c r="BE129" t="str">
        <f t="shared" si="132"/>
        <v>Colombia</v>
      </c>
      <c r="BF129" s="152" t="str">
        <f t="shared" si="133"/>
        <v>Marokko</v>
      </c>
      <c r="BG129" s="152"/>
    </row>
    <row r="130" spans="1:59" s="90" customFormat="1" ht="14.25" customHeight="1" x14ac:dyDescent="0.2">
      <c r="A130" s="127"/>
      <c r="B130" s="62" t="str">
        <f>Groepsloting!$B$122</f>
        <v>Datum</v>
      </c>
      <c r="C130" s="131"/>
      <c r="D130" s="58" t="str">
        <f>Groepsloting!$B$119</f>
        <v>Wedstrijd</v>
      </c>
      <c r="E130" s="59"/>
      <c r="F130" s="58"/>
      <c r="G130" s="58"/>
      <c r="H130" s="192" t="str">
        <f>Groepsloting!$B$120</f>
        <v>Uitslag</v>
      </c>
      <c r="I130" s="58"/>
      <c r="J130" s="64" t="str">
        <f>Groepsloting!$B$121</f>
        <v>Toto</v>
      </c>
      <c r="K130" s="68"/>
      <c r="L130" s="157"/>
      <c r="M130"/>
      <c r="N130"/>
      <c r="O130"/>
      <c r="P130"/>
      <c r="Q130"/>
      <c r="R130"/>
      <c r="S130"/>
      <c r="T130"/>
      <c r="U130"/>
      <c r="V130"/>
      <c r="W130" s="177"/>
      <c r="X130" s="66"/>
      <c r="Y130" s="4"/>
      <c r="Z130" s="4"/>
      <c r="AA130" s="4"/>
      <c r="AB130" s="4"/>
      <c r="AC130" s="4"/>
      <c r="AD130" s="4"/>
      <c r="AE130" s="4"/>
      <c r="AF130" s="4"/>
      <c r="AG130"/>
      <c r="AH130"/>
      <c r="AI130"/>
      <c r="AJ130"/>
      <c r="AK130"/>
      <c r="AL130"/>
      <c r="AM130"/>
      <c r="AN130"/>
      <c r="AO130" s="148">
        <f t="shared" si="125"/>
        <v>8.9269999999999996</v>
      </c>
      <c r="AP130" s="195">
        <v>17</v>
      </c>
      <c r="AQ130" s="195" t="s">
        <v>519</v>
      </c>
      <c r="AR130" s="195" t="s">
        <v>524</v>
      </c>
      <c r="AS130" s="195" t="s">
        <v>520</v>
      </c>
      <c r="AT130" s="195" t="s">
        <v>528</v>
      </c>
      <c r="AU130" s="195" t="s">
        <v>523</v>
      </c>
      <c r="AV130" s="195" t="s">
        <v>522</v>
      </c>
      <c r="AW130" s="195" t="s">
        <v>521</v>
      </c>
      <c r="AX130" s="195" t="s">
        <v>526</v>
      </c>
      <c r="AZ130"/>
      <c r="BA130"/>
      <c r="BB130"/>
      <c r="BC130"/>
      <c r="BD130"/>
      <c r="BE130" t="str">
        <f t="shared" ref="BE130:BE133" si="134">BE69</f>
        <v>Engeland</v>
      </c>
      <c r="BF130" s="152" t="str">
        <f t="shared" si="133"/>
        <v>Haïti</v>
      </c>
      <c r="BG130" s="152"/>
    </row>
    <row r="131" spans="1:59" s="90" customFormat="1" ht="14.25" customHeight="1" x14ac:dyDescent="0.2">
      <c r="A131" s="127">
        <v>97</v>
      </c>
      <c r="B131" s="144" t="s">
        <v>616</v>
      </c>
      <c r="C131" s="142">
        <v>0.91666666666666663</v>
      </c>
      <c r="D131" s="48" t="str">
        <f>IF(J121=1,D121,IF(J121=2,F121,Groepsloting!B142))</f>
        <v>vul winnaar in AF2</v>
      </c>
      <c r="E131" s="89" t="s">
        <v>5</v>
      </c>
      <c r="F131" s="49" t="str">
        <f>IF(J120=1,D120,IF(J120=2,F120,Groepsloting!B141))</f>
        <v>vul winnaar in AF1</v>
      </c>
      <c r="G131" s="17"/>
      <c r="H131" s="79" t="s">
        <v>5</v>
      </c>
      <c r="I131" s="17"/>
      <c r="J131" s="19">
        <f t="shared" ref="J131:J134" si="135">IF(AND(G131="",I131=""),0,IF(G131&gt;I131,1,IF(G131&lt;I131,2,3)))</f>
        <v>0</v>
      </c>
      <c r="K131" s="80" t="s">
        <v>86</v>
      </c>
      <c r="L131" s="157"/>
      <c r="M131"/>
      <c r="N131"/>
      <c r="O131"/>
      <c r="P131"/>
      <c r="Q131"/>
      <c r="R131"/>
      <c r="S131"/>
      <c r="T131"/>
      <c r="U131"/>
      <c r="V131"/>
      <c r="W131" s="177"/>
      <c r="X131" s="66"/>
      <c r="Y131" s="4"/>
      <c r="Z131" s="4"/>
      <c r="AA131" s="4"/>
      <c r="AB131" s="4"/>
      <c r="AC131" s="4"/>
      <c r="AD131" s="4"/>
      <c r="AE131" s="4"/>
      <c r="AF131" s="4"/>
      <c r="AG131"/>
      <c r="AH131"/>
      <c r="AI131"/>
      <c r="AJ131"/>
      <c r="AK131"/>
      <c r="AL131"/>
      <c r="AM131"/>
      <c r="AN131"/>
      <c r="AO131" s="148">
        <f t="shared" si="125"/>
        <v>8.9258000000000006</v>
      </c>
      <c r="AP131" s="195">
        <v>18</v>
      </c>
      <c r="AQ131" s="195" t="s">
        <v>523</v>
      </c>
      <c r="AR131" s="195" t="s">
        <v>524</v>
      </c>
      <c r="AS131" s="195" t="s">
        <v>521</v>
      </c>
      <c r="AT131" s="195" t="s">
        <v>528</v>
      </c>
      <c r="AU131" s="195" t="s">
        <v>520</v>
      </c>
      <c r="AV131" s="195" t="s">
        <v>527</v>
      </c>
      <c r="AW131" s="195" t="s">
        <v>525</v>
      </c>
      <c r="AX131" s="195" t="s">
        <v>526</v>
      </c>
      <c r="AZ131"/>
      <c r="BA131"/>
      <c r="BB131"/>
      <c r="BC131"/>
      <c r="BD131"/>
      <c r="BE131" t="str">
        <f t="shared" si="134"/>
        <v>Kroatië</v>
      </c>
      <c r="BF131" s="152" t="str">
        <f t="shared" si="133"/>
        <v>Schotland</v>
      </c>
      <c r="BG131" s="152"/>
    </row>
    <row r="132" spans="1:59" s="90" customFormat="1" ht="14.25" customHeight="1" x14ac:dyDescent="0.2">
      <c r="A132" s="127">
        <v>98</v>
      </c>
      <c r="B132" s="144" t="s">
        <v>617</v>
      </c>
      <c r="C132" s="142">
        <v>0.875</v>
      </c>
      <c r="D132" s="48" t="str">
        <f>IF(J124=1,D124,IF(J124=2,F124,Groepsloting!B145))</f>
        <v>vul winnaar in AF5</v>
      </c>
      <c r="E132" s="89" t="s">
        <v>5</v>
      </c>
      <c r="F132" s="49" t="str">
        <f>IF(J125=1,D125,IF(J125=2,F125,Groepsloting!B146))</f>
        <v>vul winnaar in AF6</v>
      </c>
      <c r="G132" s="17"/>
      <c r="H132" s="79" t="s">
        <v>5</v>
      </c>
      <c r="I132" s="17"/>
      <c r="J132" s="19">
        <f t="shared" si="135"/>
        <v>0</v>
      </c>
      <c r="K132" s="80" t="s">
        <v>87</v>
      </c>
      <c r="L132" s="157"/>
      <c r="M132"/>
      <c r="N132"/>
      <c r="O132"/>
      <c r="P132"/>
      <c r="Q132"/>
      <c r="R132"/>
      <c r="S132"/>
      <c r="T132"/>
      <c r="U132"/>
      <c r="V132"/>
      <c r="W132" s="177"/>
      <c r="X132" s="66"/>
      <c r="Y132" s="4"/>
      <c r="Z132" s="4"/>
      <c r="AA132" s="4"/>
      <c r="AB132" s="4"/>
      <c r="AC132" s="4"/>
      <c r="AD132" s="4"/>
      <c r="AE132" s="4"/>
      <c r="AF132" s="4"/>
      <c r="AG132"/>
      <c r="AH132"/>
      <c r="AI132"/>
      <c r="AJ132"/>
      <c r="AK132"/>
      <c r="AL132"/>
      <c r="AM132"/>
      <c r="AN132"/>
      <c r="AO132" s="148">
        <f t="shared" si="125"/>
        <v>8.9267000000000003</v>
      </c>
      <c r="AP132" s="195">
        <v>19</v>
      </c>
      <c r="AQ132" s="195" t="s">
        <v>528</v>
      </c>
      <c r="AR132" s="195" t="s">
        <v>520</v>
      </c>
      <c r="AS132" s="195" t="s">
        <v>521</v>
      </c>
      <c r="AT132" s="195" t="s">
        <v>527</v>
      </c>
      <c r="AU132" s="195" t="s">
        <v>523</v>
      </c>
      <c r="AV132" s="195" t="s">
        <v>522</v>
      </c>
      <c r="AW132" s="195" t="s">
        <v>525</v>
      </c>
      <c r="AX132" s="195" t="s">
        <v>526</v>
      </c>
      <c r="AZ132"/>
      <c r="BA132"/>
      <c r="BB132"/>
      <c r="BC132"/>
      <c r="BD132"/>
      <c r="BE132" t="str">
        <f t="shared" si="134"/>
        <v>Ghana</v>
      </c>
      <c r="BF132" s="152" t="str">
        <f t="shared" ref="BF132:BF135" si="136">BE27</f>
        <v>Duitsland</v>
      </c>
      <c r="BG132" s="152"/>
    </row>
    <row r="133" spans="1:59" s="90" customFormat="1" ht="14.25" customHeight="1" x14ac:dyDescent="0.2">
      <c r="A133" s="127">
        <v>99</v>
      </c>
      <c r="B133" s="144" t="s">
        <v>618</v>
      </c>
      <c r="C133" s="142">
        <v>0.95833333333333337</v>
      </c>
      <c r="D133" s="48" t="str">
        <f>IF(J122=1,D122,IF(J122=2,F122,Groepsloting!B143))</f>
        <v>vul winnaar in AF3</v>
      </c>
      <c r="E133" s="89" t="s">
        <v>5</v>
      </c>
      <c r="F133" s="49" t="str">
        <f>IF(J123=1,D123,IF(J123=2,F123,Groepsloting!B144))</f>
        <v>vul winnaar in AF4</v>
      </c>
      <c r="G133" s="17"/>
      <c r="H133" s="79" t="s">
        <v>5</v>
      </c>
      <c r="I133" s="17"/>
      <c r="J133" s="19">
        <f t="shared" si="135"/>
        <v>0</v>
      </c>
      <c r="K133" s="80" t="s">
        <v>88</v>
      </c>
      <c r="L133" s="157"/>
      <c r="M133"/>
      <c r="N133"/>
      <c r="O133"/>
      <c r="P133"/>
      <c r="Q133"/>
      <c r="R133"/>
      <c r="S133"/>
      <c r="T133"/>
      <c r="U133"/>
      <c r="V133"/>
      <c r="W133" s="177"/>
      <c r="X133" s="66"/>
      <c r="Y133" s="4"/>
      <c r="Z133" s="4"/>
      <c r="AA133" s="4"/>
      <c r="AB133" s="4"/>
      <c r="AC133" s="4"/>
      <c r="AD133" s="4"/>
      <c r="AE133" s="4"/>
      <c r="AF133" s="4"/>
      <c r="AG133"/>
      <c r="AH133"/>
      <c r="AI133"/>
      <c r="AJ133"/>
      <c r="AK133"/>
      <c r="AL133"/>
      <c r="AM133"/>
      <c r="AN133"/>
      <c r="AO133" s="148">
        <f t="shared" si="125"/>
        <v>8.9235000000000007</v>
      </c>
      <c r="AP133" s="195">
        <v>20</v>
      </c>
      <c r="AQ133" s="195" t="s">
        <v>528</v>
      </c>
      <c r="AR133" s="195" t="s">
        <v>524</v>
      </c>
      <c r="AS133" s="195" t="s">
        <v>521</v>
      </c>
      <c r="AT133" s="195" t="s">
        <v>527</v>
      </c>
      <c r="AU133" s="195" t="s">
        <v>520</v>
      </c>
      <c r="AV133" s="195" t="s">
        <v>522</v>
      </c>
      <c r="AW133" s="195" t="s">
        <v>525</v>
      </c>
      <c r="AX133" s="195" t="s">
        <v>526</v>
      </c>
      <c r="AZ133"/>
      <c r="BA133"/>
      <c r="BB133"/>
      <c r="BC133"/>
      <c r="BD133"/>
      <c r="BE133" t="str">
        <f t="shared" si="134"/>
        <v>Panama</v>
      </c>
      <c r="BF133" s="152" t="str">
        <f t="shared" si="136"/>
        <v>Curaçao</v>
      </c>
      <c r="BG133" s="152"/>
    </row>
    <row r="134" spans="1:59" s="90" customFormat="1" ht="14.25" customHeight="1" x14ac:dyDescent="0.2">
      <c r="A134" s="127">
        <v>100</v>
      </c>
      <c r="B134" s="144" t="s">
        <v>619</v>
      </c>
      <c r="C134" s="142">
        <v>0.125</v>
      </c>
      <c r="D134" s="48" t="str">
        <f>IF(J126=1,D126,IF(J126=2,F126,Groepsloting!B147))</f>
        <v>vul winnaar in AF7</v>
      </c>
      <c r="E134" s="89" t="s">
        <v>5</v>
      </c>
      <c r="F134" s="49" t="str">
        <f>IF(J127=1,D127,IF(J127=2,F127,Groepsloting!B148))</f>
        <v>vul winnaar in AF8</v>
      </c>
      <c r="G134" s="17"/>
      <c r="H134" s="79" t="s">
        <v>5</v>
      </c>
      <c r="I134" s="17"/>
      <c r="J134" s="19">
        <f t="shared" si="135"/>
        <v>0</v>
      </c>
      <c r="K134" s="80" t="s">
        <v>89</v>
      </c>
      <c r="L134" s="157"/>
      <c r="M134"/>
      <c r="N134"/>
      <c r="O134"/>
      <c r="P134"/>
      <c r="Q134"/>
      <c r="R134"/>
      <c r="S134"/>
      <c r="T134"/>
      <c r="U134"/>
      <c r="V134"/>
      <c r="W134" s="177"/>
      <c r="X134" s="66"/>
      <c r="Y134" s="4"/>
      <c r="Z134" s="4"/>
      <c r="AA134" s="4"/>
      <c r="AB134" s="4"/>
      <c r="AC134" s="4"/>
      <c r="AD134" s="4"/>
      <c r="AE134" s="4"/>
      <c r="AF134" s="4"/>
      <c r="AG134"/>
      <c r="AH134"/>
      <c r="AI134"/>
      <c r="AJ134"/>
      <c r="AK134"/>
      <c r="AL134"/>
      <c r="AM134"/>
      <c r="AN134"/>
      <c r="AO134" s="148">
        <f t="shared" si="125"/>
        <v>8.9265000000000008</v>
      </c>
      <c r="AP134" s="195">
        <v>21</v>
      </c>
      <c r="AQ134" s="195" t="s">
        <v>528</v>
      </c>
      <c r="AR134" s="195" t="s">
        <v>524</v>
      </c>
      <c r="AS134" s="195" t="s">
        <v>520</v>
      </c>
      <c r="AT134" s="195" t="s">
        <v>527</v>
      </c>
      <c r="AU134" s="195" t="s">
        <v>523</v>
      </c>
      <c r="AV134" s="195" t="s">
        <v>522</v>
      </c>
      <c r="AW134" s="195" t="s">
        <v>525</v>
      </c>
      <c r="AX134" s="195" t="s">
        <v>526</v>
      </c>
      <c r="AZ134"/>
      <c r="BA134"/>
      <c r="BB134"/>
      <c r="BC134"/>
      <c r="BD134"/>
      <c r="BF134" s="152" t="str">
        <f t="shared" si="136"/>
        <v>Ivoorkust</v>
      </c>
      <c r="BG134" s="152"/>
    </row>
    <row r="135" spans="1:59" s="90" customFormat="1" ht="14.25" customHeight="1" x14ac:dyDescent="0.2">
      <c r="A135" s="127"/>
      <c r="B135" s="178"/>
      <c r="C135" s="179"/>
      <c r="D135" s="20"/>
      <c r="E135" s="20"/>
      <c r="F135" s="20"/>
      <c r="G135" s="182"/>
      <c r="H135" s="184"/>
      <c r="I135" s="182"/>
      <c r="J135" s="182"/>
      <c r="K135" s="68"/>
      <c r="L135" s="157"/>
      <c r="M135"/>
      <c r="N135"/>
      <c r="O135"/>
      <c r="P135"/>
      <c r="Q135"/>
      <c r="R135"/>
      <c r="S135"/>
      <c r="T135"/>
      <c r="U135"/>
      <c r="V135"/>
      <c r="W135" s="177"/>
      <c r="X135" s="66"/>
      <c r="Y135" s="4"/>
      <c r="Z135" s="4"/>
      <c r="AA135" s="4"/>
      <c r="AB135" s="4"/>
      <c r="AC135" s="4"/>
      <c r="AD135" s="4"/>
      <c r="AE135" s="4"/>
      <c r="AF135" s="4"/>
      <c r="AG135"/>
      <c r="AH135"/>
      <c r="AI135"/>
      <c r="AJ135"/>
      <c r="AK135"/>
      <c r="AL135"/>
      <c r="AM135"/>
      <c r="AN135"/>
      <c r="AO135" s="148">
        <f t="shared" si="125"/>
        <v>8.9268000000000001</v>
      </c>
      <c r="AP135" s="195">
        <v>22</v>
      </c>
      <c r="AQ135" s="195" t="s">
        <v>528</v>
      </c>
      <c r="AR135" s="195" t="s">
        <v>524</v>
      </c>
      <c r="AS135" s="195" t="s">
        <v>521</v>
      </c>
      <c r="AT135" s="195" t="s">
        <v>527</v>
      </c>
      <c r="AU135" s="195" t="s">
        <v>523</v>
      </c>
      <c r="AV135" s="195" t="s">
        <v>522</v>
      </c>
      <c r="AW135" s="195" t="s">
        <v>525</v>
      </c>
      <c r="AX135" s="195" t="s">
        <v>526</v>
      </c>
      <c r="AZ135"/>
      <c r="BA135"/>
      <c r="BB135"/>
      <c r="BC135"/>
      <c r="BD135" s="91" t="s">
        <v>695</v>
      </c>
      <c r="BE135" s="210" t="s">
        <v>703</v>
      </c>
      <c r="BF135" s="152" t="str">
        <f t="shared" si="136"/>
        <v>Ecuador</v>
      </c>
      <c r="BG135" s="152"/>
    </row>
    <row r="136" spans="1:59" s="90" customFormat="1" ht="14.25" customHeight="1" x14ac:dyDescent="0.2">
      <c r="A136" s="127"/>
      <c r="B136" s="185" t="str">
        <f>Groepsloting!$B$154</f>
        <v>Halve finales</v>
      </c>
      <c r="C136" s="186"/>
      <c r="D136" s="187"/>
      <c r="E136" s="184"/>
      <c r="F136"/>
      <c r="G136" s="182"/>
      <c r="H136" s="184"/>
      <c r="I136" s="182"/>
      <c r="J136" s="182"/>
      <c r="K136" s="68"/>
      <c r="L136" s="156"/>
      <c r="M136" s="173"/>
      <c r="W136" s="69"/>
      <c r="X136" s="66"/>
      <c r="Y136" s="4"/>
      <c r="Z136" s="4"/>
      <c r="AA136" s="4"/>
      <c r="AB136" s="4"/>
      <c r="AC136" s="4"/>
      <c r="AD136" s="4"/>
      <c r="AE136" s="4"/>
      <c r="AF136" s="4"/>
      <c r="AG136"/>
      <c r="AH136"/>
      <c r="AI136"/>
      <c r="AJ136"/>
      <c r="AK136"/>
      <c r="AL136"/>
      <c r="AM136"/>
      <c r="AN136"/>
      <c r="AO136" s="148">
        <f t="shared" si="125"/>
        <v>8.9250000000000007</v>
      </c>
      <c r="AP136" s="195">
        <v>23</v>
      </c>
      <c r="AQ136" s="195" t="s">
        <v>528</v>
      </c>
      <c r="AR136" s="195" t="s">
        <v>524</v>
      </c>
      <c r="AS136" s="195" t="s">
        <v>520</v>
      </c>
      <c r="AT136" s="195" t="s">
        <v>527</v>
      </c>
      <c r="AU136" s="195" t="s">
        <v>523</v>
      </c>
      <c r="AV136" s="195" t="s">
        <v>522</v>
      </c>
      <c r="AW136" s="195" t="s">
        <v>525</v>
      </c>
      <c r="AX136" s="195" t="s">
        <v>521</v>
      </c>
      <c r="AZ136"/>
      <c r="BA136"/>
      <c r="BD136" s="90" t="str">
        <f>BE3</f>
        <v>Mexico</v>
      </c>
      <c r="BE136" s="90" t="str">
        <f>BE3</f>
        <v>Mexico</v>
      </c>
      <c r="BF136" s="152" t="str">
        <f>BE33</f>
        <v>Nederland</v>
      </c>
      <c r="BG136" s="100"/>
    </row>
    <row r="137" spans="1:59" s="90" customFormat="1" ht="14.25" customHeight="1" x14ac:dyDescent="0.2">
      <c r="A137" s="127"/>
      <c r="B137" s="62" t="str">
        <f>Groepsloting!$B$122</f>
        <v>Datum</v>
      </c>
      <c r="C137" s="131"/>
      <c r="D137" s="58" t="str">
        <f>Groepsloting!$B$119</f>
        <v>Wedstrijd</v>
      </c>
      <c r="E137" s="59"/>
      <c r="F137" s="58"/>
      <c r="G137" s="58"/>
      <c r="H137" s="192" t="str">
        <f>Groepsloting!$B$120</f>
        <v>Uitslag</v>
      </c>
      <c r="I137" s="58"/>
      <c r="J137" s="64" t="str">
        <f>Groepsloting!$B$121</f>
        <v>Toto</v>
      </c>
      <c r="K137" s="68"/>
      <c r="W137" s="69"/>
      <c r="X137" s="66"/>
      <c r="Y137" s="4"/>
      <c r="Z137" s="4"/>
      <c r="AA137" s="4"/>
      <c r="AB137" s="4"/>
      <c r="AC137" s="4"/>
      <c r="AD137" s="4"/>
      <c r="AE137" s="4"/>
      <c r="AF137" s="4"/>
      <c r="AG137"/>
      <c r="AH137"/>
      <c r="AI137"/>
      <c r="AJ137"/>
      <c r="AK137"/>
      <c r="AL137"/>
      <c r="AM137"/>
      <c r="AN137"/>
      <c r="AO137" s="148">
        <f t="shared" si="125"/>
        <v>8.9263000000000012</v>
      </c>
      <c r="AP137" s="195">
        <v>24</v>
      </c>
      <c r="AQ137" s="195" t="s">
        <v>528</v>
      </c>
      <c r="AR137" s="195" t="s">
        <v>524</v>
      </c>
      <c r="AS137" s="195" t="s">
        <v>520</v>
      </c>
      <c r="AT137" s="195" t="s">
        <v>527</v>
      </c>
      <c r="AU137" s="195" t="s">
        <v>523</v>
      </c>
      <c r="AV137" s="195" t="s">
        <v>522</v>
      </c>
      <c r="AW137" s="195" t="s">
        <v>521</v>
      </c>
      <c r="AX137" s="195" t="s">
        <v>526</v>
      </c>
      <c r="AZ137"/>
      <c r="BA137"/>
      <c r="BD137" s="90" t="str">
        <f>BE4</f>
        <v>Zuid-Afrika</v>
      </c>
      <c r="BE137" s="90" t="str">
        <f>BE4</f>
        <v>Zuid-Afrika</v>
      </c>
      <c r="BF137" s="152" t="str">
        <f>BE34</f>
        <v>Japan</v>
      </c>
      <c r="BG137" s="100"/>
    </row>
    <row r="138" spans="1:59" s="90" customFormat="1" ht="14.25" customHeight="1" x14ac:dyDescent="0.2">
      <c r="A138" s="127">
        <v>101</v>
      </c>
      <c r="B138" s="144" t="s">
        <v>620</v>
      </c>
      <c r="C138" s="142">
        <v>0.875</v>
      </c>
      <c r="D138" s="48" t="str">
        <f>IF(J131=1,D131,IF(J131=2,F131,Groepsloting!B150))</f>
        <v>vul winnaar in KF1</v>
      </c>
      <c r="E138" s="89" t="s">
        <v>5</v>
      </c>
      <c r="F138" s="49" t="str">
        <f>IF(J132=1,D132,IF(J132=2,F132,Groepsloting!B151))</f>
        <v>vul winnaar in KF2</v>
      </c>
      <c r="G138" s="17"/>
      <c r="H138" s="79" t="s">
        <v>5</v>
      </c>
      <c r="I138" s="17"/>
      <c r="J138" s="19">
        <f t="shared" ref="J138:J139" si="137">IF(AND(G138="",I138=""),0,IF(G138&gt;I138,1,IF(G138&lt;I138,2,3)))</f>
        <v>0</v>
      </c>
      <c r="K138" s="80" t="s">
        <v>90</v>
      </c>
      <c r="W138" s="69"/>
      <c r="X138" s="66"/>
      <c r="Y138" s="4"/>
      <c r="Z138" s="4"/>
      <c r="AA138" s="4"/>
      <c r="AB138" s="4"/>
      <c r="AC138" s="4"/>
      <c r="AD138" s="4"/>
      <c r="AE138" s="4"/>
      <c r="AF138" s="4"/>
      <c r="AG138"/>
      <c r="AH138"/>
      <c r="AI138"/>
      <c r="AJ138"/>
      <c r="AK138"/>
      <c r="AL138"/>
      <c r="AM138"/>
      <c r="AN138"/>
      <c r="AO138" s="148">
        <f t="shared" si="125"/>
        <v>8.9263000000000012</v>
      </c>
      <c r="AP138" s="195">
        <v>25</v>
      </c>
      <c r="AQ138" s="195" t="s">
        <v>519</v>
      </c>
      <c r="AR138" s="195" t="s">
        <v>520</v>
      </c>
      <c r="AS138" s="195" t="s">
        <v>521</v>
      </c>
      <c r="AT138" s="195" t="s">
        <v>528</v>
      </c>
      <c r="AU138" s="195" t="s">
        <v>523</v>
      </c>
      <c r="AV138" s="195" t="s">
        <v>527</v>
      </c>
      <c r="AW138" s="195" t="s">
        <v>525</v>
      </c>
      <c r="AX138" s="195" t="s">
        <v>526</v>
      </c>
      <c r="AZ138"/>
      <c r="BA138"/>
      <c r="BD138" s="90" t="str">
        <f>BE5</f>
        <v>Zuid-Korea</v>
      </c>
      <c r="BE138" s="90" t="str">
        <f>BE5</f>
        <v>Zuid-Korea</v>
      </c>
      <c r="BF138" s="152" t="str">
        <f>BE35</f>
        <v>Tunesië</v>
      </c>
      <c r="BG138" s="100"/>
    </row>
    <row r="139" spans="1:59" s="90" customFormat="1" ht="14.25" customHeight="1" x14ac:dyDescent="0.2">
      <c r="A139" s="127">
        <v>102</v>
      </c>
      <c r="B139" s="144" t="s">
        <v>621</v>
      </c>
      <c r="C139" s="142">
        <v>0.875</v>
      </c>
      <c r="D139" s="48" t="str">
        <f>IF(J133=1,D133,IF(J133=2,F133,Groepsloting!B152))</f>
        <v>vul winnaar in KF3</v>
      </c>
      <c r="E139" s="89" t="s">
        <v>5</v>
      </c>
      <c r="F139" s="49" t="str">
        <f>IF(J134=1,D134,IF(J134=2,F134,Groepsloting!B153))</f>
        <v>vul winnaar in KF4</v>
      </c>
      <c r="G139" s="17"/>
      <c r="H139" s="79" t="s">
        <v>5</v>
      </c>
      <c r="I139" s="17"/>
      <c r="J139" s="19">
        <f t="shared" si="137"/>
        <v>0</v>
      </c>
      <c r="K139" s="80" t="s">
        <v>91</v>
      </c>
      <c r="W139" s="69"/>
      <c r="X139" s="66"/>
      <c r="Y139" s="4"/>
      <c r="Z139" s="4"/>
      <c r="AA139" s="4"/>
      <c r="AB139" s="4"/>
      <c r="AC139" s="4"/>
      <c r="AD139" s="4"/>
      <c r="AE139" s="4"/>
      <c r="AF139" s="4"/>
      <c r="AG139"/>
      <c r="AH139"/>
      <c r="AI139"/>
      <c r="AJ139"/>
      <c r="AK139"/>
      <c r="AL139"/>
      <c r="AM139"/>
      <c r="AN139"/>
      <c r="AO139" s="148">
        <f t="shared" si="125"/>
        <v>8.9231000000000016</v>
      </c>
      <c r="AP139" s="195">
        <v>26</v>
      </c>
      <c r="AQ139" s="195" t="s">
        <v>519</v>
      </c>
      <c r="AR139" s="195" t="s">
        <v>524</v>
      </c>
      <c r="AS139" s="195" t="s">
        <v>521</v>
      </c>
      <c r="AT139" s="195" t="s">
        <v>528</v>
      </c>
      <c r="AU139" s="195" t="s">
        <v>520</v>
      </c>
      <c r="AV139" s="195" t="s">
        <v>527</v>
      </c>
      <c r="AW139" s="195" t="s">
        <v>525</v>
      </c>
      <c r="AX139" s="195" t="s">
        <v>526</v>
      </c>
      <c r="AZ139"/>
      <c r="BA139"/>
      <c r="BD139" s="90" t="str">
        <f>BE6</f>
        <v>Tsjechië</v>
      </c>
      <c r="BE139" s="90" t="str">
        <f>BE6</f>
        <v>Tsjechië</v>
      </c>
      <c r="BF139" s="100" t="str">
        <f>BE36</f>
        <v>Zweden</v>
      </c>
      <c r="BG139" s="100"/>
    </row>
    <row r="140" spans="1:59" s="90" customFormat="1" ht="14.25" customHeight="1" x14ac:dyDescent="0.2">
      <c r="A140" s="127"/>
      <c r="B140" s="178"/>
      <c r="C140" s="179"/>
      <c r="D140" s="183"/>
      <c r="E140" s="184"/>
      <c r="F140" s="183"/>
      <c r="G140" s="182"/>
      <c r="H140" s="184"/>
      <c r="I140" s="182"/>
      <c r="J140" s="182"/>
      <c r="K140" s="68"/>
      <c r="L140" s="157"/>
      <c r="M140"/>
      <c r="N140"/>
      <c r="O140"/>
      <c r="P140"/>
      <c r="Q140"/>
      <c r="R140"/>
      <c r="S140"/>
      <c r="T140"/>
      <c r="U140"/>
      <c r="V140"/>
      <c r="W140" s="177"/>
      <c r="X140" s="66"/>
      <c r="Y140" s="4"/>
      <c r="Z140" s="4"/>
      <c r="AA140" s="4"/>
      <c r="AB140" s="4"/>
      <c r="AC140" s="4"/>
      <c r="AD140" s="4"/>
      <c r="AE140" s="4"/>
      <c r="AF140" s="4"/>
      <c r="AG140"/>
      <c r="AH140"/>
      <c r="AI140"/>
      <c r="AJ140"/>
      <c r="AK140"/>
      <c r="AL140"/>
      <c r="AM140"/>
      <c r="AN140"/>
      <c r="AO140" s="148">
        <f t="shared" si="125"/>
        <v>8.9261000000000017</v>
      </c>
      <c r="AP140" s="195">
        <v>27</v>
      </c>
      <c r="AQ140" s="195" t="s">
        <v>519</v>
      </c>
      <c r="AR140" s="195" t="s">
        <v>524</v>
      </c>
      <c r="AS140" s="195" t="s">
        <v>520</v>
      </c>
      <c r="AT140" s="195" t="s">
        <v>528</v>
      </c>
      <c r="AU140" s="195" t="s">
        <v>523</v>
      </c>
      <c r="AV140" s="195" t="s">
        <v>527</v>
      </c>
      <c r="AW140" s="195" t="s">
        <v>525</v>
      </c>
      <c r="AX140" s="195" t="s">
        <v>526</v>
      </c>
      <c r="AZ140"/>
      <c r="BA140"/>
      <c r="BD140" s="90" t="str">
        <f>BE9</f>
        <v>Canada</v>
      </c>
      <c r="BE140" s="90" t="str">
        <f>BE9</f>
        <v>Canada</v>
      </c>
      <c r="BF140" s="100" t="str">
        <f t="shared" ref="BF140:BF143" si="138">BE51</f>
        <v>Irak</v>
      </c>
      <c r="BG140" s="100"/>
    </row>
    <row r="141" spans="1:59" s="90" customFormat="1" ht="14.25" customHeight="1" x14ac:dyDescent="0.2">
      <c r="A141" s="127"/>
      <c r="B141" s="188" t="str">
        <f>Groepsloting!$B$157</f>
        <v>3e plaats</v>
      </c>
      <c r="C141" s="189"/>
      <c r="D141"/>
      <c r="E141" s="184"/>
      <c r="F141" s="183"/>
      <c r="G141" s="182"/>
      <c r="H141" s="184"/>
      <c r="I141" s="182"/>
      <c r="J141" s="182"/>
      <c r="K141" s="68"/>
      <c r="L141" s="157"/>
      <c r="M141"/>
      <c r="N141"/>
      <c r="O141"/>
      <c r="P141"/>
      <c r="Q141"/>
      <c r="R141"/>
      <c r="S141"/>
      <c r="T141"/>
      <c r="U141"/>
      <c r="V141"/>
      <c r="W141" s="177"/>
      <c r="X141" s="66"/>
      <c r="Y141" s="4"/>
      <c r="Z141" s="4"/>
      <c r="AA141" s="4"/>
      <c r="AB141" s="4"/>
      <c r="AC141" s="4"/>
      <c r="AD141" s="4"/>
      <c r="AE141" s="4"/>
      <c r="AF141" s="4"/>
      <c r="AG141"/>
      <c r="AH141"/>
      <c r="AI141"/>
      <c r="AJ141"/>
      <c r="AK141"/>
      <c r="AL141"/>
      <c r="AM141"/>
      <c r="AN141"/>
      <c r="AO141" s="148">
        <f t="shared" si="125"/>
        <v>8.926400000000001</v>
      </c>
      <c r="AP141" s="195">
        <v>28</v>
      </c>
      <c r="AQ141" s="195" t="s">
        <v>519</v>
      </c>
      <c r="AR141" s="195" t="s">
        <v>524</v>
      </c>
      <c r="AS141" s="195" t="s">
        <v>521</v>
      </c>
      <c r="AT141" s="195" t="s">
        <v>528</v>
      </c>
      <c r="AU141" s="195" t="s">
        <v>523</v>
      </c>
      <c r="AV141" s="195" t="s">
        <v>527</v>
      </c>
      <c r="AW141" s="195" t="s">
        <v>525</v>
      </c>
      <c r="AX141" s="195" t="s">
        <v>526</v>
      </c>
      <c r="AZ141"/>
      <c r="BA141"/>
      <c r="BD141" s="90" t="str">
        <f>BE10</f>
        <v>Qatar</v>
      </c>
      <c r="BE141" s="90" t="str">
        <f>BE10</f>
        <v>Qatar</v>
      </c>
      <c r="BF141" s="100" t="str">
        <f t="shared" si="138"/>
        <v>Frankrijk</v>
      </c>
      <c r="BG141" s="100"/>
    </row>
    <row r="142" spans="1:59" s="90" customFormat="1" ht="14.25" customHeight="1" x14ac:dyDescent="0.2">
      <c r="A142" s="127"/>
      <c r="B142" s="62" t="str">
        <f>Groepsloting!$B$122</f>
        <v>Datum</v>
      </c>
      <c r="C142" s="131"/>
      <c r="D142" s="58" t="str">
        <f>Groepsloting!$B$119</f>
        <v>Wedstrijd</v>
      </c>
      <c r="E142" s="59"/>
      <c r="F142" s="58"/>
      <c r="G142" s="58"/>
      <c r="H142" s="192" t="str">
        <f>Groepsloting!$B$120</f>
        <v>Uitslag</v>
      </c>
      <c r="I142" s="58"/>
      <c r="J142" s="64" t="str">
        <f>Groepsloting!$B$121</f>
        <v>Toto</v>
      </c>
      <c r="K142" s="68"/>
      <c r="L142" s="157"/>
      <c r="M142"/>
      <c r="N142"/>
      <c r="O142"/>
      <c r="P142"/>
      <c r="Q142"/>
      <c r="R142"/>
      <c r="S142"/>
      <c r="T142"/>
      <c r="U142"/>
      <c r="V142"/>
      <c r="W142" s="177"/>
      <c r="X142" s="66"/>
      <c r="Y142" s="4"/>
      <c r="Z142" s="4"/>
      <c r="AA142" s="4"/>
      <c r="AB142" s="4"/>
      <c r="AC142" s="4"/>
      <c r="AD142" s="4"/>
      <c r="AE142" s="4"/>
      <c r="AF142" s="4"/>
      <c r="AG142"/>
      <c r="AH142"/>
      <c r="AI142"/>
      <c r="AJ142"/>
      <c r="AK142"/>
      <c r="AL142"/>
      <c r="AM142"/>
      <c r="AN142"/>
      <c r="AO142" s="148">
        <f t="shared" si="125"/>
        <v>8.9246000000000016</v>
      </c>
      <c r="AP142" s="195">
        <v>29</v>
      </c>
      <c r="AQ142" s="195" t="s">
        <v>519</v>
      </c>
      <c r="AR142" s="195" t="s">
        <v>524</v>
      </c>
      <c r="AS142" s="195" t="s">
        <v>520</v>
      </c>
      <c r="AT142" s="195" t="s">
        <v>528</v>
      </c>
      <c r="AU142" s="195" t="s">
        <v>523</v>
      </c>
      <c r="AV142" s="195" t="s">
        <v>527</v>
      </c>
      <c r="AW142" s="195" t="s">
        <v>525</v>
      </c>
      <c r="AX142" s="195" t="s">
        <v>521</v>
      </c>
      <c r="AZ142"/>
      <c r="BA142"/>
      <c r="BD142" s="90" t="str">
        <f>BE11</f>
        <v>Zwitserland</v>
      </c>
      <c r="BE142" s="90" t="str">
        <f>BE11</f>
        <v>Zwitserland</v>
      </c>
      <c r="BF142" s="100" t="str">
        <f t="shared" si="138"/>
        <v>Senegal</v>
      </c>
      <c r="BG142" s="100"/>
    </row>
    <row r="143" spans="1:59" s="90" customFormat="1" ht="14.25" customHeight="1" x14ac:dyDescent="0.2">
      <c r="A143" s="127">
        <v>103</v>
      </c>
      <c r="B143" s="144" t="s">
        <v>622</v>
      </c>
      <c r="C143" s="142">
        <v>0.95833333333333337</v>
      </c>
      <c r="D143" s="48" t="str">
        <f>IF(J138=1,F138,IF(J138=2,D138,Groepsloting!B155))</f>
        <v>vul verliezer in HF1</v>
      </c>
      <c r="E143" s="89" t="s">
        <v>5</v>
      </c>
      <c r="F143" s="48" t="str">
        <f>IF(J139=1,F139,IF(J139=2,D139,Groepsloting!B156))</f>
        <v>vul verliezer in HF2</v>
      </c>
      <c r="G143" s="17"/>
      <c r="H143" s="79" t="s">
        <v>5</v>
      </c>
      <c r="I143" s="17"/>
      <c r="J143" s="19">
        <f t="shared" ref="J143" si="139">IF(AND(G143="",I143=""),0,IF(G143&gt;I143,1,IF(G143&lt;I143,2,3)))</f>
        <v>0</v>
      </c>
      <c r="K143" s="153" t="s">
        <v>645</v>
      </c>
      <c r="L143" s="157"/>
      <c r="M143"/>
      <c r="N143"/>
      <c r="O143"/>
      <c r="P143"/>
      <c r="Q143"/>
      <c r="R143"/>
      <c r="S143"/>
      <c r="T143"/>
      <c r="U143"/>
      <c r="V143"/>
      <c r="W143" s="177"/>
      <c r="X143" s="66"/>
      <c r="Y143" s="4"/>
      <c r="Z143" s="4"/>
      <c r="AA143" s="4"/>
      <c r="AB143" s="4"/>
      <c r="AC143" s="4"/>
      <c r="AD143" s="4"/>
      <c r="AE143" s="4"/>
      <c r="AF143" s="4"/>
      <c r="AG143"/>
      <c r="AH143"/>
      <c r="AI143"/>
      <c r="AJ143"/>
      <c r="AK143"/>
      <c r="AL143"/>
      <c r="AM143"/>
      <c r="AN143"/>
      <c r="AO143" s="148">
        <f t="shared" si="125"/>
        <v>8.9259000000000004</v>
      </c>
      <c r="AP143" s="195">
        <v>30</v>
      </c>
      <c r="AQ143" s="195" t="s">
        <v>519</v>
      </c>
      <c r="AR143" s="195" t="s">
        <v>524</v>
      </c>
      <c r="AS143" s="195" t="s">
        <v>520</v>
      </c>
      <c r="AT143" s="195" t="s">
        <v>528</v>
      </c>
      <c r="AU143" s="195" t="s">
        <v>523</v>
      </c>
      <c r="AV143" s="195" t="s">
        <v>527</v>
      </c>
      <c r="AW143" s="195" t="s">
        <v>521</v>
      </c>
      <c r="AX143" s="195" t="s">
        <v>526</v>
      </c>
      <c r="AZ143"/>
      <c r="BA143"/>
      <c r="BD143" s="90" t="str">
        <f>BE12</f>
        <v>Bosnië-Herzegovina</v>
      </c>
      <c r="BE143" s="90" t="str">
        <f>BE12</f>
        <v>Bosnië-Herzegovina</v>
      </c>
      <c r="BF143" s="100" t="str">
        <f t="shared" si="138"/>
        <v>Noorwegen</v>
      </c>
      <c r="BG143" s="100"/>
    </row>
    <row r="144" spans="1:59" s="90" customFormat="1" ht="14.25" customHeight="1" x14ac:dyDescent="0.2">
      <c r="A144" s="127"/>
      <c r="B144" s="178"/>
      <c r="C144" s="179"/>
      <c r="D144" s="190" t="str">
        <f>IF(J143=1,D143,IF(J143=2,F143,Groepsloting!B160))</f>
        <v>Winnaar van 3e plaats</v>
      </c>
      <c r="E144" s="184"/>
      <c r="F144" s="183"/>
      <c r="G144" s="182"/>
      <c r="H144" s="184"/>
      <c r="I144" s="182"/>
      <c r="J144" s="182"/>
      <c r="K144" s="87"/>
      <c r="L144" s="157"/>
      <c r="M144"/>
      <c r="N144"/>
      <c r="O144"/>
      <c r="P144"/>
      <c r="Q144"/>
      <c r="R144"/>
      <c r="S144"/>
      <c r="T144"/>
      <c r="U144"/>
      <c r="V144"/>
      <c r="W144" s="177"/>
      <c r="X144" s="66"/>
      <c r="Y144" s="4"/>
      <c r="Z144" s="4"/>
      <c r="AA144" s="4"/>
      <c r="AB144" s="4"/>
      <c r="AC144" s="4"/>
      <c r="AD144" s="4"/>
      <c r="AE144" s="4"/>
      <c r="AF144" s="4"/>
      <c r="AG144"/>
      <c r="AH144"/>
      <c r="AI144"/>
      <c r="AJ144"/>
      <c r="AK144"/>
      <c r="AL144"/>
      <c r="AM144"/>
      <c r="AN144"/>
      <c r="AO144" s="148">
        <f t="shared" si="125"/>
        <v>8.9239999999999995</v>
      </c>
      <c r="AP144" s="195">
        <v>31</v>
      </c>
      <c r="AQ144" s="195" t="s">
        <v>528</v>
      </c>
      <c r="AR144" s="195" t="s">
        <v>520</v>
      </c>
      <c r="AS144" s="195" t="s">
        <v>519</v>
      </c>
      <c r="AT144" s="195" t="s">
        <v>527</v>
      </c>
      <c r="AU144" s="195" t="s">
        <v>521</v>
      </c>
      <c r="AV144" s="195" t="s">
        <v>522</v>
      </c>
      <c r="AW144" s="195" t="s">
        <v>525</v>
      </c>
      <c r="AX144" s="195" t="s">
        <v>526</v>
      </c>
      <c r="AZ144"/>
      <c r="BA144"/>
      <c r="BD144" s="90" t="str">
        <f>BE15</f>
        <v>Brazilië</v>
      </c>
      <c r="BE144" s="90" t="str">
        <f>BE15</f>
        <v>Brazilië</v>
      </c>
      <c r="BF144" s="100"/>
      <c r="BG144" s="100"/>
    </row>
    <row r="145" spans="1:59" s="90" customFormat="1" ht="14.25" customHeight="1" x14ac:dyDescent="0.2">
      <c r="A145" s="127"/>
      <c r="B145" s="188" t="str">
        <f>Groepsloting!$B$161</f>
        <v>Finale</v>
      </c>
      <c r="C145" s="189"/>
      <c r="D145" s="183"/>
      <c r="E145" s="184"/>
      <c r="F145" s="183"/>
      <c r="G145" s="182"/>
      <c r="H145" s="184"/>
      <c r="I145" s="182"/>
      <c r="J145" s="182"/>
      <c r="K145" s="68"/>
      <c r="L145" s="156"/>
      <c r="M145" s="173"/>
      <c r="W145" s="69"/>
      <c r="X145" s="66"/>
      <c r="Y145" s="4"/>
      <c r="Z145" s="4"/>
      <c r="AA145" s="4"/>
      <c r="AB145" s="4"/>
      <c r="AC145" s="4"/>
      <c r="AD145" s="4"/>
      <c r="AE145" s="4"/>
      <c r="AF145" s="4"/>
      <c r="AG145"/>
      <c r="AH145"/>
      <c r="AI145"/>
      <c r="AJ145"/>
      <c r="AK145"/>
      <c r="AL145"/>
      <c r="AM145"/>
      <c r="AN145"/>
      <c r="AO145" s="148">
        <f t="shared" si="125"/>
        <v>8.9269999999999996</v>
      </c>
      <c r="AP145" s="195">
        <v>32</v>
      </c>
      <c r="AQ145" s="195" t="s">
        <v>528</v>
      </c>
      <c r="AR145" s="195" t="s">
        <v>520</v>
      </c>
      <c r="AS145" s="195" t="s">
        <v>519</v>
      </c>
      <c r="AT145" s="195" t="s">
        <v>527</v>
      </c>
      <c r="AU145" s="195" t="s">
        <v>523</v>
      </c>
      <c r="AV145" s="195" t="s">
        <v>522</v>
      </c>
      <c r="AW145" s="195" t="s">
        <v>525</v>
      </c>
      <c r="AX145" s="195" t="s">
        <v>526</v>
      </c>
      <c r="AZ145"/>
      <c r="BA145"/>
      <c r="BD145" s="90" t="str">
        <f>BE16</f>
        <v>Marokko</v>
      </c>
      <c r="BE145" s="90" t="str">
        <f>BE16</f>
        <v>Marokko</v>
      </c>
      <c r="BF145" s="212" t="s">
        <v>689</v>
      </c>
      <c r="BG145" s="100"/>
    </row>
    <row r="146" spans="1:59" s="90" customFormat="1" ht="14.25" customHeight="1" x14ac:dyDescent="0.2">
      <c r="A146" s="127"/>
      <c r="B146" s="62" t="str">
        <f>Groepsloting!$B$122</f>
        <v>Datum</v>
      </c>
      <c r="C146" s="131"/>
      <c r="D146" s="58" t="str">
        <f>Groepsloting!$B$119</f>
        <v>Wedstrijd</v>
      </c>
      <c r="E146" s="59"/>
      <c r="F146" s="58"/>
      <c r="G146" s="58"/>
      <c r="H146" s="192" t="str">
        <f>Groepsloting!$B$120</f>
        <v>Uitslag</v>
      </c>
      <c r="I146" s="58"/>
      <c r="J146" s="64" t="str">
        <f>Groepsloting!$B$121</f>
        <v>Toto</v>
      </c>
      <c r="K146" s="68"/>
      <c r="W146" s="69"/>
      <c r="X146" s="66"/>
      <c r="Y146" s="4"/>
      <c r="Z146" s="4"/>
      <c r="AA146" s="4"/>
      <c r="AB146" s="4"/>
      <c r="AC146" s="4"/>
      <c r="AD146" s="4"/>
      <c r="AE146" s="4"/>
      <c r="AF146" s="4"/>
      <c r="AG146"/>
      <c r="AH146"/>
      <c r="AI146"/>
      <c r="AJ146"/>
      <c r="AK146"/>
      <c r="AL146"/>
      <c r="AM146"/>
      <c r="AN146"/>
      <c r="AO146" s="148">
        <f t="shared" si="125"/>
        <v>8.9273000000000007</v>
      </c>
      <c r="AP146" s="195">
        <v>33</v>
      </c>
      <c r="AQ146" s="195" t="s">
        <v>528</v>
      </c>
      <c r="AR146" s="195" t="s">
        <v>519</v>
      </c>
      <c r="AS146" s="195" t="s">
        <v>521</v>
      </c>
      <c r="AT146" s="195" t="s">
        <v>527</v>
      </c>
      <c r="AU146" s="195" t="s">
        <v>523</v>
      </c>
      <c r="AV146" s="195" t="s">
        <v>522</v>
      </c>
      <c r="AW146" s="195" t="s">
        <v>525</v>
      </c>
      <c r="AX146" s="195" t="s">
        <v>526</v>
      </c>
      <c r="AZ146"/>
      <c r="BA146"/>
      <c r="BD146" s="90" t="str">
        <f>BE17</f>
        <v>Haïti</v>
      </c>
      <c r="BE146" s="90" t="str">
        <f>BE17</f>
        <v>Haïti</v>
      </c>
      <c r="BF146" s="100" t="str">
        <f>BE3</f>
        <v>Mexico</v>
      </c>
      <c r="BG146" s="100"/>
    </row>
    <row r="147" spans="1:59" s="90" customFormat="1" ht="14.25" customHeight="1" x14ac:dyDescent="0.2">
      <c r="A147" s="127">
        <v>104</v>
      </c>
      <c r="B147" s="144" t="s">
        <v>624</v>
      </c>
      <c r="C147" s="142">
        <v>0.875</v>
      </c>
      <c r="D147" s="48" t="str">
        <f>IF(J138=1,D138,IF(J138=2,F138,Groepsloting!B158))</f>
        <v>vul winnaar in HF1</v>
      </c>
      <c r="E147" s="89" t="s">
        <v>5</v>
      </c>
      <c r="F147" s="48" t="str">
        <f>IF(J139=1,D139,IF(J139=2,F139,Groepsloting!B159))</f>
        <v>vul winnaar in HF2</v>
      </c>
      <c r="G147" s="17"/>
      <c r="H147" s="79" t="s">
        <v>5</v>
      </c>
      <c r="I147" s="17"/>
      <c r="J147" s="19">
        <f t="shared" ref="J147" si="140">IF(AND(G147="",I147=""),0,IF(G147&gt;I147,1,IF(G147&lt;I147,2,3)))</f>
        <v>0</v>
      </c>
      <c r="K147" s="153" t="s">
        <v>623</v>
      </c>
      <c r="W147" s="69"/>
      <c r="X147" s="66"/>
      <c r="Y147" s="4"/>
      <c r="Z147" s="4"/>
      <c r="AA147" s="4"/>
      <c r="AB147" s="4"/>
      <c r="AC147" s="4"/>
      <c r="AD147" s="4"/>
      <c r="AE147" s="4"/>
      <c r="AF147" s="4"/>
      <c r="AG147"/>
      <c r="AH147"/>
      <c r="AI147"/>
      <c r="AJ147"/>
      <c r="AK147"/>
      <c r="AL147"/>
      <c r="AM147"/>
      <c r="AN147"/>
      <c r="AO147" s="148">
        <f t="shared" si="125"/>
        <v>8.9255000000000013</v>
      </c>
      <c r="AP147" s="195">
        <v>34</v>
      </c>
      <c r="AQ147" s="195" t="s">
        <v>528</v>
      </c>
      <c r="AR147" s="195" t="s">
        <v>520</v>
      </c>
      <c r="AS147" s="195" t="s">
        <v>519</v>
      </c>
      <c r="AT147" s="195" t="s">
        <v>527</v>
      </c>
      <c r="AU147" s="195" t="s">
        <v>523</v>
      </c>
      <c r="AV147" s="195" t="s">
        <v>522</v>
      </c>
      <c r="AW147" s="195" t="s">
        <v>525</v>
      </c>
      <c r="AX147" s="195" t="s">
        <v>521</v>
      </c>
      <c r="AZ147"/>
      <c r="BA147"/>
      <c r="BB147"/>
      <c r="BC147"/>
      <c r="BD147" t="str">
        <f>BE18</f>
        <v>Schotland</v>
      </c>
      <c r="BE147" s="90" t="str">
        <f>BE18</f>
        <v>Schotland</v>
      </c>
      <c r="BF147" s="100" t="str">
        <f>BE4</f>
        <v>Zuid-Afrika</v>
      </c>
      <c r="BG147" s="152"/>
    </row>
    <row r="148" spans="1:59" s="90" customFormat="1" ht="14.25" customHeight="1" x14ac:dyDescent="0.2">
      <c r="A148" s="127"/>
      <c r="B148" s="178"/>
      <c r="C148" s="179"/>
      <c r="D148" s="183"/>
      <c r="E148" s="184"/>
      <c r="F148" s="183"/>
      <c r="G148" s="182"/>
      <c r="H148" s="184"/>
      <c r="I148" s="182"/>
      <c r="J148" s="182"/>
      <c r="K148" s="87"/>
      <c r="W148" s="69"/>
      <c r="X148" s="66"/>
      <c r="Y148" s="4"/>
      <c r="Z148" s="4"/>
      <c r="AA148" s="4"/>
      <c r="AB148" s="4"/>
      <c r="AC148" s="4"/>
      <c r="AD148" s="4"/>
      <c r="AE148" s="4"/>
      <c r="AF148" s="4"/>
      <c r="AG148"/>
      <c r="AH148"/>
      <c r="AI148"/>
      <c r="AJ148"/>
      <c r="AK148"/>
      <c r="AL148"/>
      <c r="AM148"/>
      <c r="AN148"/>
      <c r="AO148" s="148">
        <f t="shared" si="125"/>
        <v>8.9268000000000001</v>
      </c>
      <c r="AP148" s="195">
        <v>35</v>
      </c>
      <c r="AQ148" s="195" t="s">
        <v>528</v>
      </c>
      <c r="AR148" s="195" t="s">
        <v>520</v>
      </c>
      <c r="AS148" s="195" t="s">
        <v>519</v>
      </c>
      <c r="AT148" s="195" t="s">
        <v>527</v>
      </c>
      <c r="AU148" s="195" t="s">
        <v>523</v>
      </c>
      <c r="AV148" s="195" t="s">
        <v>522</v>
      </c>
      <c r="AW148" s="195" t="s">
        <v>521</v>
      </c>
      <c r="AX148" s="195" t="s">
        <v>526</v>
      </c>
      <c r="AZ148"/>
      <c r="BA148"/>
      <c r="BB148"/>
      <c r="BC148"/>
      <c r="BD148" t="str">
        <f>BE21</f>
        <v>Verenigde Staten</v>
      </c>
      <c r="BE148" s="90" t="str">
        <f>BE21</f>
        <v>Verenigde Staten</v>
      </c>
      <c r="BF148" s="100" t="str">
        <f>BE5</f>
        <v>Zuid-Korea</v>
      </c>
      <c r="BG148" s="152"/>
    </row>
    <row r="149" spans="1:59" s="90" customFormat="1" ht="21" customHeight="1" x14ac:dyDescent="0.2">
      <c r="A149" s="127"/>
      <c r="B149" s="230" t="str">
        <f>Groepsloting!$B$162</f>
        <v>Wereldkampioen</v>
      </c>
      <c r="C149" s="231"/>
      <c r="D149" s="231"/>
      <c r="E149" s="232"/>
      <c r="F149" s="233" t="str">
        <f>IF(J147=1,D147,IF(J147=2,F147,Groepsloting!B163))</f>
        <v>Winnaar finale</v>
      </c>
      <c r="G149" s="234"/>
      <c r="H149" s="234"/>
      <c r="I149" s="234"/>
      <c r="J149" s="235"/>
      <c r="K149" s="68"/>
      <c r="W149" s="69"/>
      <c r="X149" s="66"/>
      <c r="Y149" s="4"/>
      <c r="Z149" s="4"/>
      <c r="AA149" s="4"/>
      <c r="AB149" s="4"/>
      <c r="AC149" s="4"/>
      <c r="AD149" s="4"/>
      <c r="AE149" s="4"/>
      <c r="AF149" s="4"/>
      <c r="AG149"/>
      <c r="AH149"/>
      <c r="AI149"/>
      <c r="AJ149"/>
      <c r="AK149"/>
      <c r="AL149"/>
      <c r="AM149"/>
      <c r="AN149"/>
      <c r="AO149" s="148">
        <f t="shared" si="125"/>
        <v>8.9238</v>
      </c>
      <c r="AP149" s="195">
        <v>36</v>
      </c>
      <c r="AQ149" s="195" t="s">
        <v>528</v>
      </c>
      <c r="AR149" s="195" t="s">
        <v>524</v>
      </c>
      <c r="AS149" s="195" t="s">
        <v>519</v>
      </c>
      <c r="AT149" s="195" t="s">
        <v>527</v>
      </c>
      <c r="AU149" s="195" t="s">
        <v>520</v>
      </c>
      <c r="AV149" s="195" t="s">
        <v>522</v>
      </c>
      <c r="AW149" s="195" t="s">
        <v>525</v>
      </c>
      <c r="AX149" s="195" t="s">
        <v>526</v>
      </c>
      <c r="AZ149"/>
      <c r="BA149"/>
      <c r="BB149"/>
      <c r="BC149"/>
      <c r="BD149" t="str">
        <f>BE22</f>
        <v>Paraguay</v>
      </c>
      <c r="BE149" s="90" t="str">
        <f>BE22</f>
        <v>Paraguay</v>
      </c>
      <c r="BF149" s="100" t="str">
        <f>BE6</f>
        <v>Tsjechië</v>
      </c>
      <c r="BG149" s="152"/>
    </row>
    <row r="150" spans="1:59" s="90" customFormat="1" ht="14.25" customHeight="1" x14ac:dyDescent="0.2">
      <c r="A150" s="128"/>
      <c r="B150" s="76"/>
      <c r="C150" s="133"/>
      <c r="D150" s="76"/>
      <c r="E150" s="76"/>
      <c r="F150" s="76"/>
      <c r="G150" s="76"/>
      <c r="H150" s="76"/>
      <c r="I150" s="76"/>
      <c r="J150" s="76"/>
      <c r="K150" s="88"/>
      <c r="L150" s="154"/>
      <c r="M150" s="191"/>
      <c r="N150" s="191"/>
      <c r="O150" s="191"/>
      <c r="P150" s="191"/>
      <c r="Q150" s="191"/>
      <c r="R150" s="191"/>
      <c r="S150" s="191"/>
      <c r="T150" s="191"/>
      <c r="U150" s="191"/>
      <c r="V150" s="191"/>
      <c r="W150" s="135" t="s">
        <v>761</v>
      </c>
      <c r="X150" s="66"/>
      <c r="Y150" s="4"/>
      <c r="Z150" s="4"/>
      <c r="AA150" s="4"/>
      <c r="AB150" s="4"/>
      <c r="AC150" s="4"/>
      <c r="AD150" s="4"/>
      <c r="AE150" s="4"/>
      <c r="AF150" s="4"/>
      <c r="AG150"/>
      <c r="AH150"/>
      <c r="AI150"/>
      <c r="AJ150"/>
      <c r="AK150"/>
      <c r="AL150"/>
      <c r="AM150"/>
      <c r="AN150"/>
      <c r="AO150" s="148">
        <f t="shared" si="125"/>
        <v>8.924100000000001</v>
      </c>
      <c r="AP150" s="195">
        <v>37</v>
      </c>
      <c r="AQ150" s="195" t="s">
        <v>528</v>
      </c>
      <c r="AR150" s="195" t="s">
        <v>524</v>
      </c>
      <c r="AS150" s="195" t="s">
        <v>519</v>
      </c>
      <c r="AT150" s="195" t="s">
        <v>527</v>
      </c>
      <c r="AU150" s="195" t="s">
        <v>521</v>
      </c>
      <c r="AV150" s="195" t="s">
        <v>522</v>
      </c>
      <c r="AW150" s="195" t="s">
        <v>525</v>
      </c>
      <c r="AX150" s="195" t="s">
        <v>526</v>
      </c>
      <c r="AZ150"/>
      <c r="BA150"/>
      <c r="BB150"/>
      <c r="BC150"/>
      <c r="BD150" t="str">
        <f>BE23</f>
        <v>Australië</v>
      </c>
      <c r="BE150" t="str">
        <f>BE23</f>
        <v>Australië</v>
      </c>
      <c r="BF150" s="100" t="str">
        <f>BE15</f>
        <v>Brazilië</v>
      </c>
      <c r="BG150" s="152"/>
    </row>
    <row r="151" spans="1:59" s="90" customFormat="1" ht="14.25" customHeight="1" x14ac:dyDescent="0.2">
      <c r="A151" s="127"/>
      <c r="B151" s="20"/>
      <c r="C151" s="132"/>
      <c r="D151" s="20"/>
      <c r="E151" s="20"/>
      <c r="F151" s="20"/>
      <c r="G151" s="20"/>
      <c r="H151" s="20"/>
      <c r="I151" s="20"/>
      <c r="J151" s="20"/>
      <c r="L151"/>
      <c r="M151"/>
      <c r="N151"/>
      <c r="O151"/>
      <c r="P151"/>
      <c r="Q151"/>
      <c r="R151"/>
      <c r="S151"/>
      <c r="T151"/>
      <c r="U151"/>
      <c r="V151"/>
      <c r="W151"/>
      <c r="X151" s="66"/>
      <c r="Y151" s="4"/>
      <c r="Z151" s="4"/>
      <c r="AA151" s="4"/>
      <c r="AB151" s="4"/>
      <c r="AC151" s="4"/>
      <c r="AD151" s="4"/>
      <c r="AE151" s="4"/>
      <c r="AF151" s="4"/>
      <c r="AG151"/>
      <c r="AH151"/>
      <c r="AI151"/>
      <c r="AJ151"/>
      <c r="AK151"/>
      <c r="AL151"/>
      <c r="AM151"/>
      <c r="AN151"/>
      <c r="AO151" s="148">
        <f t="shared" si="125"/>
        <v>8.9223000000000017</v>
      </c>
      <c r="AP151" s="195">
        <v>38</v>
      </c>
      <c r="AQ151" s="195" t="s">
        <v>528</v>
      </c>
      <c r="AR151" s="195" t="s">
        <v>524</v>
      </c>
      <c r="AS151" s="195" t="s">
        <v>519</v>
      </c>
      <c r="AT151" s="195" t="s">
        <v>527</v>
      </c>
      <c r="AU151" s="195" t="s">
        <v>520</v>
      </c>
      <c r="AV151" s="195" t="s">
        <v>522</v>
      </c>
      <c r="AW151" s="195" t="s">
        <v>525</v>
      </c>
      <c r="AX151" s="195" t="s">
        <v>521</v>
      </c>
      <c r="AZ151"/>
      <c r="BA151"/>
      <c r="BB151"/>
      <c r="BC151"/>
      <c r="BD151" t="str">
        <f>BE24</f>
        <v>Turkije</v>
      </c>
      <c r="BE151" t="str">
        <f>BE24</f>
        <v>Turkije</v>
      </c>
      <c r="BF151" s="100" t="str">
        <f>BE16</f>
        <v>Marokko</v>
      </c>
      <c r="BG151" s="152"/>
    </row>
    <row r="152" spans="1:59" s="90" customFormat="1" ht="14.25" customHeight="1" x14ac:dyDescent="0.2">
      <c r="A152" s="127"/>
      <c r="B152"/>
      <c r="C152" s="134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 s="66"/>
      <c r="Y152" s="4"/>
      <c r="Z152" s="4"/>
      <c r="AA152" s="4"/>
      <c r="AB152" s="4"/>
      <c r="AC152" s="4"/>
      <c r="AD152" s="4"/>
      <c r="AE152" s="4"/>
      <c r="AF152" s="4"/>
      <c r="AG152"/>
      <c r="AH152"/>
      <c r="AI152"/>
      <c r="AJ152"/>
      <c r="AK152"/>
      <c r="AL152"/>
      <c r="AM152"/>
      <c r="AN152"/>
      <c r="AO152" s="148">
        <f t="shared" si="125"/>
        <v>8.9236000000000004</v>
      </c>
      <c r="AP152" s="195">
        <v>39</v>
      </c>
      <c r="AQ152" s="195" t="s">
        <v>528</v>
      </c>
      <c r="AR152" s="195" t="s">
        <v>524</v>
      </c>
      <c r="AS152" s="195" t="s">
        <v>519</v>
      </c>
      <c r="AT152" s="195" t="s">
        <v>527</v>
      </c>
      <c r="AU152" s="195" t="s">
        <v>520</v>
      </c>
      <c r="AV152" s="195" t="s">
        <v>522</v>
      </c>
      <c r="AW152" s="195" t="s">
        <v>521</v>
      </c>
      <c r="AX152" s="195" t="s">
        <v>526</v>
      </c>
      <c r="AZ152"/>
      <c r="BA152"/>
      <c r="BB152"/>
      <c r="BC152"/>
      <c r="BD152" t="str">
        <f>BE33</f>
        <v>Nederland</v>
      </c>
      <c r="BE152" t="str">
        <f t="shared" ref="BE152:BE155" si="141">BE27</f>
        <v>Duitsland</v>
      </c>
      <c r="BF152" s="100" t="str">
        <f>BE17</f>
        <v>Haïti</v>
      </c>
      <c r="BG152" s="152"/>
    </row>
    <row r="153" spans="1:59" s="90" customFormat="1" ht="14.25" customHeight="1" x14ac:dyDescent="0.2">
      <c r="A153" s="127"/>
      <c r="B153"/>
      <c r="C153" s="134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 s="66"/>
      <c r="Y153" s="4"/>
      <c r="Z153" s="4"/>
      <c r="AA153" s="4"/>
      <c r="AB153" s="4"/>
      <c r="AC153" s="4"/>
      <c r="AD153" s="4"/>
      <c r="AE153" s="4"/>
      <c r="AF153" s="4"/>
      <c r="AG153"/>
      <c r="AH153"/>
      <c r="AI153"/>
      <c r="AJ153"/>
      <c r="AK153"/>
      <c r="AL153"/>
      <c r="AM153"/>
      <c r="AN153"/>
      <c r="AO153" s="148">
        <f t="shared" si="125"/>
        <v>8.9271000000000011</v>
      </c>
      <c r="AP153" s="195">
        <v>40</v>
      </c>
      <c r="AQ153" s="195" t="s">
        <v>528</v>
      </c>
      <c r="AR153" s="195" t="s">
        <v>524</v>
      </c>
      <c r="AS153" s="195" t="s">
        <v>519</v>
      </c>
      <c r="AT153" s="195" t="s">
        <v>527</v>
      </c>
      <c r="AU153" s="195" t="s">
        <v>523</v>
      </c>
      <c r="AV153" s="195" t="s">
        <v>522</v>
      </c>
      <c r="AW153" s="195" t="s">
        <v>525</v>
      </c>
      <c r="AX153" s="195" t="s">
        <v>526</v>
      </c>
      <c r="AZ153"/>
      <c r="BA153"/>
      <c r="BB153"/>
      <c r="BC153"/>
      <c r="BD153" t="str">
        <f>BE34</f>
        <v>Japan</v>
      </c>
      <c r="BE153" t="str">
        <f t="shared" si="141"/>
        <v>Curaçao</v>
      </c>
      <c r="BF153" s="100" t="str">
        <f>BE18</f>
        <v>Schotland</v>
      </c>
      <c r="BG153" s="152"/>
    </row>
    <row r="154" spans="1:59" s="90" customFormat="1" ht="14.25" customHeight="1" x14ac:dyDescent="0.2">
      <c r="A154" s="127"/>
      <c r="B154"/>
      <c r="C154" s="13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 s="66"/>
      <c r="Y154" s="4"/>
      <c r="Z154" s="4"/>
      <c r="AA154" s="4"/>
      <c r="AB154" s="4"/>
      <c r="AC154" s="4"/>
      <c r="AD154" s="4"/>
      <c r="AE154" s="4"/>
      <c r="AF154" s="4"/>
      <c r="AG154"/>
      <c r="AH154"/>
      <c r="AI154"/>
      <c r="AJ154"/>
      <c r="AK154"/>
      <c r="AL154"/>
      <c r="AM154"/>
      <c r="AN154"/>
      <c r="AO154" s="148">
        <f t="shared" si="125"/>
        <v>8.9253</v>
      </c>
      <c r="AP154" s="195">
        <v>41</v>
      </c>
      <c r="AQ154" s="195" t="s">
        <v>528</v>
      </c>
      <c r="AR154" s="195" t="s">
        <v>524</v>
      </c>
      <c r="AS154" s="195" t="s">
        <v>520</v>
      </c>
      <c r="AT154" s="195" t="s">
        <v>527</v>
      </c>
      <c r="AU154" s="195" t="s">
        <v>523</v>
      </c>
      <c r="AV154" s="195" t="s">
        <v>522</v>
      </c>
      <c r="AW154" s="195" t="s">
        <v>525</v>
      </c>
      <c r="AX154" s="195" t="s">
        <v>519</v>
      </c>
      <c r="AZ154"/>
      <c r="BA154"/>
      <c r="BB154"/>
      <c r="BC154"/>
      <c r="BD154" t="str">
        <f>BE35</f>
        <v>Tunesië</v>
      </c>
      <c r="BE154" t="str">
        <f t="shared" si="141"/>
        <v>Ivoorkust</v>
      </c>
      <c r="BF154" s="100" t="str">
        <f>BE27</f>
        <v>Duitsland</v>
      </c>
      <c r="BG154" s="152"/>
    </row>
    <row r="155" spans="1:59" s="90" customFormat="1" ht="14.25" customHeight="1" x14ac:dyDescent="0.2">
      <c r="A155" s="127"/>
      <c r="B155"/>
      <c r="C155" s="134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 s="66"/>
      <c r="Y155" s="4"/>
      <c r="Z155" s="4"/>
      <c r="AA155" s="4"/>
      <c r="AB155" s="4"/>
      <c r="AC155" s="4"/>
      <c r="AD155" s="4"/>
      <c r="AE155" s="4"/>
      <c r="AF155" s="4"/>
      <c r="AG155"/>
      <c r="AH155"/>
      <c r="AI155"/>
      <c r="AJ155"/>
      <c r="AK155"/>
      <c r="AL155"/>
      <c r="AM155"/>
      <c r="AN155"/>
      <c r="AO155" s="148">
        <f t="shared" si="125"/>
        <v>8.9266000000000005</v>
      </c>
      <c r="AP155" s="195">
        <v>42</v>
      </c>
      <c r="AQ155" s="195" t="s">
        <v>528</v>
      </c>
      <c r="AR155" s="195" t="s">
        <v>524</v>
      </c>
      <c r="AS155" s="195" t="s">
        <v>520</v>
      </c>
      <c r="AT155" s="195" t="s">
        <v>527</v>
      </c>
      <c r="AU155" s="195" t="s">
        <v>523</v>
      </c>
      <c r="AV155" s="195" t="s">
        <v>522</v>
      </c>
      <c r="AW155" s="195" t="s">
        <v>519</v>
      </c>
      <c r="AX155" s="195" t="s">
        <v>526</v>
      </c>
      <c r="AZ155"/>
      <c r="BA155"/>
      <c r="BB155"/>
      <c r="BC155"/>
      <c r="BD155" t="str">
        <f>BE36</f>
        <v>Zweden</v>
      </c>
      <c r="BE155" t="str">
        <f t="shared" si="141"/>
        <v>Ecuador</v>
      </c>
      <c r="BF155" s="100" t="str">
        <f>BE28</f>
        <v>Curaçao</v>
      </c>
      <c r="BG155" s="152"/>
    </row>
    <row r="156" spans="1:59" s="90" customFormat="1" ht="14.25" customHeight="1" x14ac:dyDescent="0.2">
      <c r="A156" s="127"/>
      <c r="B156"/>
      <c r="C156" s="134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 s="66"/>
      <c r="Y156" s="4"/>
      <c r="Z156" s="4"/>
      <c r="AA156" s="4"/>
      <c r="AB156" s="4"/>
      <c r="AC156" s="4"/>
      <c r="AD156" s="4"/>
      <c r="AE156" s="4"/>
      <c r="AF156" s="4"/>
      <c r="AG156"/>
      <c r="AH156"/>
      <c r="AI156"/>
      <c r="AJ156"/>
      <c r="AK156"/>
      <c r="AL156"/>
      <c r="AM156"/>
      <c r="AN156"/>
      <c r="AO156" s="148">
        <f t="shared" si="125"/>
        <v>8.9256000000000011</v>
      </c>
      <c r="AP156" s="195">
        <v>43</v>
      </c>
      <c r="AQ156" s="195" t="s">
        <v>528</v>
      </c>
      <c r="AR156" s="195" t="s">
        <v>524</v>
      </c>
      <c r="AS156" s="195" t="s">
        <v>519</v>
      </c>
      <c r="AT156" s="195" t="s">
        <v>527</v>
      </c>
      <c r="AU156" s="195" t="s">
        <v>523</v>
      </c>
      <c r="AV156" s="195" t="s">
        <v>522</v>
      </c>
      <c r="AW156" s="195" t="s">
        <v>525</v>
      </c>
      <c r="AX156" s="195" t="s">
        <v>521</v>
      </c>
      <c r="AZ156"/>
      <c r="BA156"/>
      <c r="BB156"/>
      <c r="BC156"/>
      <c r="BE156" t="str">
        <f>BE33</f>
        <v>Nederland</v>
      </c>
      <c r="BF156" s="100" t="str">
        <f>BE29</f>
        <v>Ivoorkust</v>
      </c>
      <c r="BG156" s="152"/>
    </row>
    <row r="157" spans="1:59" s="90" customFormat="1" ht="14.25" customHeight="1" x14ac:dyDescent="0.2">
      <c r="A157" s="127"/>
      <c r="B157"/>
      <c r="C157" s="134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 s="66"/>
      <c r="Y157" s="4"/>
      <c r="Z157" s="4"/>
      <c r="AA157" s="4"/>
      <c r="AB157" s="4"/>
      <c r="AC157" s="4"/>
      <c r="AD157" s="4"/>
      <c r="AE157" s="4"/>
      <c r="AF157" s="4"/>
      <c r="AG157"/>
      <c r="AH157"/>
      <c r="AI157"/>
      <c r="AJ157"/>
      <c r="AK157"/>
      <c r="AL157"/>
      <c r="AM157"/>
      <c r="AN157"/>
      <c r="AO157" s="148">
        <f t="shared" si="125"/>
        <v>8.9268999999999998</v>
      </c>
      <c r="AP157" s="195">
        <v>44</v>
      </c>
      <c r="AQ157" s="195" t="s">
        <v>528</v>
      </c>
      <c r="AR157" s="195" t="s">
        <v>524</v>
      </c>
      <c r="AS157" s="195" t="s">
        <v>519</v>
      </c>
      <c r="AT157" s="195" t="s">
        <v>527</v>
      </c>
      <c r="AU157" s="195" t="s">
        <v>523</v>
      </c>
      <c r="AV157" s="195" t="s">
        <v>522</v>
      </c>
      <c r="AW157" s="195" t="s">
        <v>521</v>
      </c>
      <c r="AX157" s="195" t="s">
        <v>526</v>
      </c>
      <c r="AZ157"/>
      <c r="BA157"/>
      <c r="BB157"/>
      <c r="BC157"/>
      <c r="BE157" t="str">
        <f>BE34</f>
        <v>Japan</v>
      </c>
      <c r="BF157" s="100" t="str">
        <f>BE30</f>
        <v>Ecuador</v>
      </c>
      <c r="BG157" s="152"/>
    </row>
    <row r="158" spans="1:59" s="90" customFormat="1" ht="14.25" customHeight="1" x14ac:dyDescent="0.2">
      <c r="A158" s="127"/>
      <c r="B158"/>
      <c r="C158" s="134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 s="66"/>
      <c r="Y158" s="4"/>
      <c r="Z158" s="4"/>
      <c r="AA158" s="4"/>
      <c r="AB158" s="4"/>
      <c r="AC158" s="4"/>
      <c r="AD158" s="4"/>
      <c r="AE158" s="4"/>
      <c r="AF158" s="4"/>
      <c r="AG158"/>
      <c r="AH158"/>
      <c r="AI158"/>
      <c r="AJ158"/>
      <c r="AK158"/>
      <c r="AL158"/>
      <c r="AM158"/>
      <c r="AN158"/>
      <c r="AO158" s="148">
        <f t="shared" si="125"/>
        <v>8.9251000000000005</v>
      </c>
      <c r="AP158" s="195">
        <v>45</v>
      </c>
      <c r="AQ158" s="195" t="s">
        <v>528</v>
      </c>
      <c r="AR158" s="195" t="s">
        <v>524</v>
      </c>
      <c r="AS158" s="195" t="s">
        <v>520</v>
      </c>
      <c r="AT158" s="195" t="s">
        <v>527</v>
      </c>
      <c r="AU158" s="195" t="s">
        <v>523</v>
      </c>
      <c r="AV158" s="195" t="s">
        <v>522</v>
      </c>
      <c r="AW158" s="195" t="s">
        <v>519</v>
      </c>
      <c r="AX158" s="195" t="s">
        <v>521</v>
      </c>
      <c r="AZ158"/>
      <c r="BA158"/>
      <c r="BB158"/>
      <c r="BC158"/>
      <c r="BE158" t="str">
        <f>BE35</f>
        <v>Tunesië</v>
      </c>
      <c r="BF158" s="100" t="str">
        <f>BE33</f>
        <v>Nederland</v>
      </c>
      <c r="BG158" s="152"/>
    </row>
    <row r="159" spans="1:59" s="90" customFormat="1" ht="14.25" customHeight="1" x14ac:dyDescent="0.2">
      <c r="A159" s="127"/>
      <c r="B159"/>
      <c r="C159" s="134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 s="66"/>
      <c r="Y159" s="4"/>
      <c r="Z159" s="4"/>
      <c r="AA159" s="4"/>
      <c r="AB159" s="4"/>
      <c r="AC159" s="4"/>
      <c r="AD159" s="4"/>
      <c r="AE159" s="4"/>
      <c r="AF159" s="4"/>
      <c r="AG159"/>
      <c r="AH159"/>
      <c r="AI159"/>
      <c r="AJ159"/>
      <c r="AK159"/>
      <c r="AL159"/>
      <c r="AM159"/>
      <c r="AN159"/>
      <c r="AO159" s="148">
        <f t="shared" si="125"/>
        <v>8.9281000000000006</v>
      </c>
      <c r="AP159" s="195">
        <v>46</v>
      </c>
      <c r="AQ159" s="195" t="s">
        <v>523</v>
      </c>
      <c r="AR159" s="195" t="s">
        <v>520</v>
      </c>
      <c r="AS159" s="195" t="s">
        <v>529</v>
      </c>
      <c r="AT159" s="195" t="s">
        <v>522</v>
      </c>
      <c r="AU159" s="195" t="s">
        <v>521</v>
      </c>
      <c r="AV159" s="195" t="s">
        <v>524</v>
      </c>
      <c r="AW159" s="195" t="s">
        <v>525</v>
      </c>
      <c r="AX159" s="195" t="s">
        <v>526</v>
      </c>
      <c r="AZ159"/>
      <c r="BA159"/>
      <c r="BB159"/>
      <c r="BC159"/>
      <c r="BE159" t="str">
        <f>BE36</f>
        <v>Zweden</v>
      </c>
      <c r="BF159" s="100" t="str">
        <f t="shared" ref="BF159:BF161" si="142">BE34</f>
        <v>Japan</v>
      </c>
      <c r="BG159" s="152"/>
    </row>
    <row r="160" spans="1:59" s="90" customFormat="1" ht="14.25" customHeight="1" x14ac:dyDescent="0.2">
      <c r="A160" s="127"/>
      <c r="B160"/>
      <c r="C160" s="134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 s="66"/>
      <c r="Y160" s="4"/>
      <c r="Z160" s="4"/>
      <c r="AA160" s="4"/>
      <c r="AB160" s="4"/>
      <c r="AC160" s="4"/>
      <c r="AD160" s="4"/>
      <c r="AE160" s="4"/>
      <c r="AF160" s="4"/>
      <c r="AG160"/>
      <c r="AH160"/>
      <c r="AI160"/>
      <c r="AJ160"/>
      <c r="AK160"/>
      <c r="AL160"/>
      <c r="AM160"/>
      <c r="AN160"/>
      <c r="AO160" s="148">
        <f t="shared" si="125"/>
        <v>8.9277000000000015</v>
      </c>
      <c r="AP160" s="195">
        <v>47</v>
      </c>
      <c r="AQ160" s="195" t="s">
        <v>519</v>
      </c>
      <c r="AR160" s="195" t="s">
        <v>520</v>
      </c>
      <c r="AS160" s="195" t="s">
        <v>521</v>
      </c>
      <c r="AT160" s="195" t="s">
        <v>529</v>
      </c>
      <c r="AU160" s="195" t="s">
        <v>523</v>
      </c>
      <c r="AV160" s="195" t="s">
        <v>524</v>
      </c>
      <c r="AW160" s="195" t="s">
        <v>525</v>
      </c>
      <c r="AX160" s="195" t="s">
        <v>526</v>
      </c>
      <c r="AZ160"/>
      <c r="BA160"/>
      <c r="BB160"/>
      <c r="BC160"/>
      <c r="BD160"/>
      <c r="BE160"/>
      <c r="BF160" s="100" t="str">
        <f t="shared" si="142"/>
        <v>Tunesië</v>
      </c>
      <c r="BG160" s="152"/>
    </row>
    <row r="161" spans="1:59" s="90" customFormat="1" ht="14.25" customHeight="1" x14ac:dyDescent="0.2">
      <c r="A161" s="127"/>
      <c r="B161"/>
      <c r="C161" s="134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 s="66"/>
      <c r="Y161" s="4"/>
      <c r="Z161" s="4"/>
      <c r="AA161" s="4"/>
      <c r="AB161" s="4"/>
      <c r="AC161" s="4"/>
      <c r="AD161" s="4"/>
      <c r="AE161" s="4"/>
      <c r="AF161" s="4"/>
      <c r="AG161"/>
      <c r="AH161"/>
      <c r="AI161"/>
      <c r="AJ161"/>
      <c r="AK161"/>
      <c r="AL161"/>
      <c r="AM161"/>
      <c r="AN161"/>
      <c r="AO161" s="148">
        <f t="shared" si="125"/>
        <v>8.9285999999999994</v>
      </c>
      <c r="AP161" s="195">
        <v>48</v>
      </c>
      <c r="AQ161" s="195" t="s">
        <v>519</v>
      </c>
      <c r="AR161" s="195" t="s">
        <v>520</v>
      </c>
      <c r="AS161" s="195" t="s">
        <v>529</v>
      </c>
      <c r="AT161" s="195" t="s">
        <v>522</v>
      </c>
      <c r="AU161" s="195" t="s">
        <v>521</v>
      </c>
      <c r="AV161" s="195" t="s">
        <v>523</v>
      </c>
      <c r="AW161" s="195" t="s">
        <v>525</v>
      </c>
      <c r="AX161" s="195" t="s">
        <v>526</v>
      </c>
      <c r="AZ161"/>
      <c r="BA161"/>
      <c r="BB161"/>
      <c r="BC161"/>
      <c r="BD161" s="91" t="s">
        <v>696</v>
      </c>
      <c r="BE161" s="212" t="s">
        <v>704</v>
      </c>
      <c r="BF161" s="100" t="str">
        <f t="shared" si="142"/>
        <v>Zweden</v>
      </c>
      <c r="BG161" s="152"/>
    </row>
    <row r="162" spans="1:59" s="90" customFormat="1" ht="14.25" customHeight="1" x14ac:dyDescent="0.2">
      <c r="A162" s="127"/>
      <c r="B162"/>
      <c r="C162" s="134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 s="66"/>
      <c r="Y162" s="4"/>
      <c r="Z162" s="4"/>
      <c r="AA162" s="4"/>
      <c r="AB162" s="4"/>
      <c r="AC162" s="4"/>
      <c r="AD162" s="4"/>
      <c r="AE162" s="4"/>
      <c r="AF162" s="4"/>
      <c r="AG162"/>
      <c r="AH162"/>
      <c r="AI162"/>
      <c r="AJ162"/>
      <c r="AK162"/>
      <c r="AL162"/>
      <c r="AM162"/>
      <c r="AN162"/>
      <c r="AO162" s="148">
        <f t="shared" si="125"/>
        <v>8.9253999999999998</v>
      </c>
      <c r="AP162" s="195">
        <v>49</v>
      </c>
      <c r="AQ162" s="195" t="s">
        <v>519</v>
      </c>
      <c r="AR162" s="195" t="s">
        <v>520</v>
      </c>
      <c r="AS162" s="195" t="s">
        <v>529</v>
      </c>
      <c r="AT162" s="195" t="s">
        <v>522</v>
      </c>
      <c r="AU162" s="195" t="s">
        <v>521</v>
      </c>
      <c r="AV162" s="195" t="s">
        <v>524</v>
      </c>
      <c r="AW162" s="195" t="s">
        <v>525</v>
      </c>
      <c r="AX162" s="195" t="s">
        <v>526</v>
      </c>
      <c r="AZ162"/>
      <c r="BA162"/>
      <c r="BB162"/>
      <c r="BC162"/>
      <c r="BD162" t="str">
        <f>BE15</f>
        <v>Brazilië</v>
      </c>
      <c r="BE162" t="str">
        <f>BE15</f>
        <v>Brazilië</v>
      </c>
      <c r="BF162" s="100" t="str">
        <f>BE45</f>
        <v>Spanje</v>
      </c>
      <c r="BG162" s="152"/>
    </row>
    <row r="163" spans="1:59" s="90" customFormat="1" ht="14.25" customHeight="1" x14ac:dyDescent="0.2">
      <c r="A163" s="127"/>
      <c r="B163"/>
      <c r="C163" s="134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 s="66"/>
      <c r="Y163" s="4"/>
      <c r="Z163" s="4"/>
      <c r="AA163" s="4"/>
      <c r="AB163" s="4"/>
      <c r="AC163" s="4"/>
      <c r="AD163" s="4"/>
      <c r="AE163" s="4"/>
      <c r="AF163" s="4"/>
      <c r="AG163"/>
      <c r="AH163"/>
      <c r="AI163"/>
      <c r="AJ163"/>
      <c r="AK163"/>
      <c r="AL163"/>
      <c r="AM163"/>
      <c r="AN163"/>
      <c r="AO163" s="148">
        <f t="shared" si="125"/>
        <v>8.9283999999999999</v>
      </c>
      <c r="AP163" s="195">
        <v>50</v>
      </c>
      <c r="AQ163" s="195" t="s">
        <v>519</v>
      </c>
      <c r="AR163" s="195" t="s">
        <v>520</v>
      </c>
      <c r="AS163" s="195" t="s">
        <v>529</v>
      </c>
      <c r="AT163" s="195" t="s">
        <v>522</v>
      </c>
      <c r="AU163" s="195" t="s">
        <v>523</v>
      </c>
      <c r="AV163" s="195" t="s">
        <v>524</v>
      </c>
      <c r="AW163" s="195" t="s">
        <v>525</v>
      </c>
      <c r="AX163" s="195" t="s">
        <v>526</v>
      </c>
      <c r="AZ163"/>
      <c r="BA163"/>
      <c r="BB163"/>
      <c r="BC163"/>
      <c r="BD163" t="str">
        <f>BE16</f>
        <v>Marokko</v>
      </c>
      <c r="BE163" t="str">
        <f>BE16</f>
        <v>Marokko</v>
      </c>
      <c r="BF163" s="100" t="str">
        <f>BE46</f>
        <v>Kaapverdië</v>
      </c>
      <c r="BG163" s="152"/>
    </row>
    <row r="164" spans="1:59" s="90" customFormat="1" ht="14.25" customHeight="1" x14ac:dyDescent="0.2">
      <c r="A164" s="127"/>
      <c r="B164"/>
      <c r="C164" s="13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 s="66"/>
      <c r="Y164" s="4"/>
      <c r="Z164" s="4"/>
      <c r="AA164" s="4"/>
      <c r="AB164" s="4"/>
      <c r="AC164" s="4"/>
      <c r="AD164" s="4"/>
      <c r="AE164" s="4"/>
      <c r="AF164" s="4"/>
      <c r="AG164"/>
      <c r="AH164"/>
      <c r="AI164"/>
      <c r="AJ164"/>
      <c r="AK164"/>
      <c r="AL164"/>
      <c r="AM164"/>
      <c r="AN164"/>
      <c r="AO164" s="148">
        <f t="shared" si="125"/>
        <v>8.928700000000001</v>
      </c>
      <c r="AP164" s="195">
        <v>51</v>
      </c>
      <c r="AQ164" s="195" t="s">
        <v>519</v>
      </c>
      <c r="AR164" s="195" t="s">
        <v>524</v>
      </c>
      <c r="AS164" s="195" t="s">
        <v>529</v>
      </c>
      <c r="AT164" s="195" t="s">
        <v>522</v>
      </c>
      <c r="AU164" s="195" t="s">
        <v>521</v>
      </c>
      <c r="AV164" s="195" t="s">
        <v>523</v>
      </c>
      <c r="AW164" s="195" t="s">
        <v>525</v>
      </c>
      <c r="AX164" s="195" t="s">
        <v>526</v>
      </c>
      <c r="AZ164"/>
      <c r="BA164"/>
      <c r="BB164"/>
      <c r="BC164"/>
      <c r="BD164" t="str">
        <f>BE17</f>
        <v>Haïti</v>
      </c>
      <c r="BE164" t="str">
        <f>BE17</f>
        <v>Haïti</v>
      </c>
      <c r="BF164" s="100" t="str">
        <f>BE47</f>
        <v>Saoedi-Arabië</v>
      </c>
      <c r="BG164" s="152"/>
    </row>
    <row r="165" spans="1:59" s="90" customFormat="1" ht="14.25" customHeight="1" x14ac:dyDescent="0.2">
      <c r="A165" s="127"/>
      <c r="B165"/>
      <c r="C165" s="134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 s="66"/>
      <c r="Y165" s="4"/>
      <c r="Z165" s="4"/>
      <c r="AA165" s="4"/>
      <c r="AB165" s="4"/>
      <c r="AC165" s="4"/>
      <c r="AD165" s="4"/>
      <c r="AE165" s="4"/>
      <c r="AF165" s="4"/>
      <c r="AG165"/>
      <c r="AH165"/>
      <c r="AI165"/>
      <c r="AJ165"/>
      <c r="AK165"/>
      <c r="AL165"/>
      <c r="AM165"/>
      <c r="AN165"/>
      <c r="AO165" s="148">
        <f t="shared" si="125"/>
        <v>8.9269000000000016</v>
      </c>
      <c r="AP165" s="195">
        <v>52</v>
      </c>
      <c r="AQ165" s="195" t="s">
        <v>519</v>
      </c>
      <c r="AR165" s="195" t="s">
        <v>520</v>
      </c>
      <c r="AS165" s="195" t="s">
        <v>529</v>
      </c>
      <c r="AT165" s="195" t="s">
        <v>522</v>
      </c>
      <c r="AU165" s="195" t="s">
        <v>523</v>
      </c>
      <c r="AV165" s="195" t="s">
        <v>524</v>
      </c>
      <c r="AW165" s="195" t="s">
        <v>525</v>
      </c>
      <c r="AX165" s="195" t="s">
        <v>521</v>
      </c>
      <c r="AZ165"/>
      <c r="BA165"/>
      <c r="BB165"/>
      <c r="BC165"/>
      <c r="BD165" t="str">
        <f>BE18</f>
        <v>Schotland</v>
      </c>
      <c r="BE165" t="str">
        <f>BE18</f>
        <v>Schotland</v>
      </c>
      <c r="BF165" s="100" t="str">
        <f>BE48</f>
        <v>Uruguay</v>
      </c>
      <c r="BG165" s="152"/>
    </row>
    <row r="166" spans="1:59" s="90" customFormat="1" ht="14.25" customHeight="1" x14ac:dyDescent="0.2">
      <c r="A166" s="127"/>
      <c r="B166"/>
      <c r="C166" s="134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 s="66"/>
      <c r="Y166" s="4"/>
      <c r="Z166" s="4"/>
      <c r="AA166" s="4"/>
      <c r="AB166" s="4"/>
      <c r="AC166" s="4"/>
      <c r="AD166" s="4"/>
      <c r="AE166" s="4"/>
      <c r="AF166" s="4"/>
      <c r="AG166"/>
      <c r="AH166"/>
      <c r="AI166"/>
      <c r="AJ166"/>
      <c r="AK166"/>
      <c r="AL166"/>
      <c r="AM166"/>
      <c r="AN166"/>
      <c r="AO166" s="148">
        <f t="shared" si="125"/>
        <v>8.9282000000000004</v>
      </c>
      <c r="AP166" s="195">
        <v>53</v>
      </c>
      <c r="AQ166" s="195" t="s">
        <v>519</v>
      </c>
      <c r="AR166" s="195" t="s">
        <v>520</v>
      </c>
      <c r="AS166" s="195" t="s">
        <v>529</v>
      </c>
      <c r="AT166" s="195" t="s">
        <v>522</v>
      </c>
      <c r="AU166" s="195" t="s">
        <v>523</v>
      </c>
      <c r="AV166" s="195" t="s">
        <v>524</v>
      </c>
      <c r="AW166" s="195" t="s">
        <v>521</v>
      </c>
      <c r="AX166" s="195" t="s">
        <v>526</v>
      </c>
      <c r="AZ166"/>
      <c r="BA166"/>
      <c r="BB166"/>
      <c r="BC166"/>
      <c r="BD166" t="str">
        <f>BE21</f>
        <v>Verenigde Staten</v>
      </c>
      <c r="BE166" t="str">
        <f>BE21</f>
        <v>Verenigde Staten</v>
      </c>
      <c r="BF166" s="100" t="str">
        <f>BE51</f>
        <v>Irak</v>
      </c>
      <c r="BG166" s="152"/>
    </row>
    <row r="167" spans="1:59" s="90" customFormat="1" ht="14.25" customHeight="1" x14ac:dyDescent="0.2">
      <c r="A167" s="127"/>
      <c r="B167"/>
      <c r="C167" s="134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 s="66"/>
      <c r="Y167" s="4"/>
      <c r="Z167" s="4"/>
      <c r="AA167" s="4"/>
      <c r="AB167" s="4"/>
      <c r="AC167" s="4"/>
      <c r="AD167" s="4"/>
      <c r="AE167" s="4"/>
      <c r="AF167" s="4"/>
      <c r="AG167"/>
      <c r="AH167"/>
      <c r="AI167"/>
      <c r="AJ167"/>
      <c r="AK167"/>
      <c r="AL167"/>
      <c r="AM167"/>
      <c r="AN167"/>
      <c r="AO167" s="148">
        <f t="shared" si="125"/>
        <v>8.9269999999999996</v>
      </c>
      <c r="AP167" s="195">
        <v>54</v>
      </c>
      <c r="AQ167" s="195" t="s">
        <v>523</v>
      </c>
      <c r="AR167" s="195" t="s">
        <v>520</v>
      </c>
      <c r="AS167" s="195" t="s">
        <v>529</v>
      </c>
      <c r="AT167" s="195" t="s">
        <v>527</v>
      </c>
      <c r="AU167" s="195" t="s">
        <v>521</v>
      </c>
      <c r="AV167" s="195" t="s">
        <v>524</v>
      </c>
      <c r="AW167" s="195" t="s">
        <v>525</v>
      </c>
      <c r="AX167" s="195" t="s">
        <v>526</v>
      </c>
      <c r="AZ167"/>
      <c r="BA167"/>
      <c r="BB167"/>
      <c r="BC167"/>
      <c r="BD167" t="str">
        <f>BE22</f>
        <v>Paraguay</v>
      </c>
      <c r="BE167" t="str">
        <f>BE22</f>
        <v>Paraguay</v>
      </c>
      <c r="BF167" s="100" t="str">
        <f>BE52</f>
        <v>Frankrijk</v>
      </c>
      <c r="BG167" s="152"/>
    </row>
    <row r="168" spans="1:59" s="90" customFormat="1" ht="14.25" customHeight="1" x14ac:dyDescent="0.2">
      <c r="A168" s="127"/>
      <c r="B168"/>
      <c r="C168" s="134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 s="66"/>
      <c r="Y168" s="4"/>
      <c r="Z168" s="4"/>
      <c r="AA168" s="4"/>
      <c r="AB168" s="4"/>
      <c r="AC168" s="4"/>
      <c r="AD168" s="4"/>
      <c r="AE168" s="4"/>
      <c r="AF168" s="4"/>
      <c r="AG168"/>
      <c r="AH168"/>
      <c r="AI168"/>
      <c r="AJ168"/>
      <c r="AK168"/>
      <c r="AL168"/>
      <c r="AM168"/>
      <c r="AN168"/>
      <c r="AO168" s="148">
        <f t="shared" si="125"/>
        <v>8.9279000000000011</v>
      </c>
      <c r="AP168" s="195">
        <v>55</v>
      </c>
      <c r="AQ168" s="195" t="s">
        <v>523</v>
      </c>
      <c r="AR168" s="195" t="s">
        <v>520</v>
      </c>
      <c r="AS168" s="195" t="s">
        <v>529</v>
      </c>
      <c r="AT168" s="195" t="s">
        <v>527</v>
      </c>
      <c r="AU168" s="195" t="s">
        <v>521</v>
      </c>
      <c r="AV168" s="195" t="s">
        <v>522</v>
      </c>
      <c r="AW168" s="195" t="s">
        <v>525</v>
      </c>
      <c r="AX168" s="195" t="s">
        <v>526</v>
      </c>
      <c r="AZ168"/>
      <c r="BA168"/>
      <c r="BB168"/>
      <c r="BC168"/>
      <c r="BD168" t="str">
        <f>BE23</f>
        <v>Australië</v>
      </c>
      <c r="BE168" t="str">
        <f>BE23</f>
        <v>Australië</v>
      </c>
      <c r="BF168" s="100" t="str">
        <f>BE53</f>
        <v>Senegal</v>
      </c>
      <c r="BG168" s="152"/>
    </row>
    <row r="169" spans="1:59" s="90" customFormat="1" ht="14.25" customHeight="1" x14ac:dyDescent="0.2">
      <c r="A169" s="127"/>
      <c r="B169"/>
      <c r="C169" s="134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 s="66"/>
      <c r="Y169" s="4"/>
      <c r="Z169" s="4"/>
      <c r="AA169" s="4"/>
      <c r="AB169" s="4"/>
      <c r="AC169" s="4"/>
      <c r="AD169" s="4"/>
      <c r="AE169" s="4"/>
      <c r="AF169" s="4"/>
      <c r="AG169"/>
      <c r="AH169"/>
      <c r="AI169"/>
      <c r="AJ169"/>
      <c r="AK169"/>
      <c r="AL169"/>
      <c r="AM169"/>
      <c r="AN169"/>
      <c r="AO169" s="148">
        <f t="shared" si="125"/>
        <v>8.9247000000000014</v>
      </c>
      <c r="AP169" s="195">
        <v>56</v>
      </c>
      <c r="AQ169" s="195" t="s">
        <v>521</v>
      </c>
      <c r="AR169" s="195" t="s">
        <v>524</v>
      </c>
      <c r="AS169" s="195" t="s">
        <v>529</v>
      </c>
      <c r="AT169" s="195" t="s">
        <v>527</v>
      </c>
      <c r="AU169" s="195" t="s">
        <v>520</v>
      </c>
      <c r="AV169" s="195" t="s">
        <v>522</v>
      </c>
      <c r="AW169" s="195" t="s">
        <v>525</v>
      </c>
      <c r="AX169" s="195" t="s">
        <v>526</v>
      </c>
      <c r="AZ169"/>
      <c r="BA169"/>
      <c r="BB169"/>
      <c r="BC169"/>
      <c r="BD169" t="str">
        <f>BE24</f>
        <v>Turkije</v>
      </c>
      <c r="BE169" t="str">
        <f>BE24</f>
        <v>Turkije</v>
      </c>
      <c r="BF169" s="100" t="str">
        <f>BE54</f>
        <v>Noorwegen</v>
      </c>
      <c r="BG169" s="152"/>
    </row>
    <row r="170" spans="1:59" s="90" customFormat="1" ht="14.25" customHeight="1" x14ac:dyDescent="0.2">
      <c r="A170" s="127"/>
      <c r="B170"/>
      <c r="C170" s="134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 s="66"/>
      <c r="Y170" s="4"/>
      <c r="Z170" s="4"/>
      <c r="AA170" s="4"/>
      <c r="AB170" s="4"/>
      <c r="AC170" s="4"/>
      <c r="AD170" s="4"/>
      <c r="AE170" s="4"/>
      <c r="AF170" s="4"/>
      <c r="AG170"/>
      <c r="AH170"/>
      <c r="AI170"/>
      <c r="AJ170"/>
      <c r="AK170"/>
      <c r="AL170"/>
      <c r="AM170"/>
      <c r="AN170"/>
      <c r="AO170" s="148">
        <f t="shared" si="125"/>
        <v>8.9277000000000015</v>
      </c>
      <c r="AP170" s="195">
        <v>57</v>
      </c>
      <c r="AQ170" s="195" t="s">
        <v>523</v>
      </c>
      <c r="AR170" s="195" t="s">
        <v>524</v>
      </c>
      <c r="AS170" s="195" t="s">
        <v>529</v>
      </c>
      <c r="AT170" s="195" t="s">
        <v>527</v>
      </c>
      <c r="AU170" s="195" t="s">
        <v>520</v>
      </c>
      <c r="AV170" s="195" t="s">
        <v>522</v>
      </c>
      <c r="AW170" s="195" t="s">
        <v>525</v>
      </c>
      <c r="AX170" s="195" t="s">
        <v>526</v>
      </c>
      <c r="AZ170"/>
      <c r="BA170"/>
      <c r="BB170"/>
      <c r="BC170"/>
      <c r="BD170" t="str">
        <f>BE33</f>
        <v>Nederland</v>
      </c>
      <c r="BE170" t="str">
        <f>BE33</f>
        <v>Nederland</v>
      </c>
      <c r="BF170" s="100" t="str">
        <f>BE57</f>
        <v>Argentinië</v>
      </c>
      <c r="BG170" s="152"/>
    </row>
    <row r="171" spans="1:59" s="90" customFormat="1" ht="14.25" customHeight="1" x14ac:dyDescent="0.2">
      <c r="A171" s="127"/>
      <c r="B171"/>
      <c r="C171" s="134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 s="66"/>
      <c r="Y171" s="4"/>
      <c r="Z171" s="4"/>
      <c r="AA171" s="4"/>
      <c r="AB171" s="4"/>
      <c r="AC171" s="4"/>
      <c r="AD171" s="4"/>
      <c r="AE171" s="4"/>
      <c r="AF171" s="4"/>
      <c r="AG171"/>
      <c r="AH171"/>
      <c r="AI171"/>
      <c r="AJ171"/>
      <c r="AK171"/>
      <c r="AL171"/>
      <c r="AM171"/>
      <c r="AN171"/>
      <c r="AO171" s="148">
        <f t="shared" si="125"/>
        <v>8.9280000000000008</v>
      </c>
      <c r="AP171" s="195">
        <v>58</v>
      </c>
      <c r="AQ171" s="195" t="s">
        <v>523</v>
      </c>
      <c r="AR171" s="195" t="s">
        <v>524</v>
      </c>
      <c r="AS171" s="195" t="s">
        <v>529</v>
      </c>
      <c r="AT171" s="195" t="s">
        <v>527</v>
      </c>
      <c r="AU171" s="195" t="s">
        <v>521</v>
      </c>
      <c r="AV171" s="195" t="s">
        <v>522</v>
      </c>
      <c r="AW171" s="195" t="s">
        <v>525</v>
      </c>
      <c r="AX171" s="195" t="s">
        <v>526</v>
      </c>
      <c r="AZ171"/>
      <c r="BA171"/>
      <c r="BB171"/>
      <c r="BC171"/>
      <c r="BD171" t="str">
        <f>BE34</f>
        <v>Japan</v>
      </c>
      <c r="BE171" t="str">
        <f>BE34</f>
        <v>Japan</v>
      </c>
      <c r="BF171" s="100" t="str">
        <f>BE58</f>
        <v>Algerije</v>
      </c>
      <c r="BG171" s="152"/>
    </row>
    <row r="172" spans="1:59" s="90" customFormat="1" ht="14.25" customHeight="1" x14ac:dyDescent="0.2">
      <c r="A172" s="127"/>
      <c r="B172"/>
      <c r="C172" s="134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 s="66"/>
      <c r="Y172" s="4"/>
      <c r="Z172" s="4"/>
      <c r="AA172" s="4"/>
      <c r="AB172" s="4"/>
      <c r="AC172" s="4"/>
      <c r="AD172" s="4"/>
      <c r="AE172" s="4"/>
      <c r="AF172" s="4"/>
      <c r="AG172"/>
      <c r="AH172"/>
      <c r="AI172"/>
      <c r="AJ172"/>
      <c r="AK172"/>
      <c r="AL172"/>
      <c r="AM172"/>
      <c r="AN172"/>
      <c r="AO172" s="148">
        <f t="shared" si="125"/>
        <v>8.9262000000000015</v>
      </c>
      <c r="AP172" s="195">
        <v>59</v>
      </c>
      <c r="AQ172" s="195" t="s">
        <v>523</v>
      </c>
      <c r="AR172" s="195" t="s">
        <v>524</v>
      </c>
      <c r="AS172" s="195" t="s">
        <v>529</v>
      </c>
      <c r="AT172" s="195" t="s">
        <v>527</v>
      </c>
      <c r="AU172" s="195" t="s">
        <v>520</v>
      </c>
      <c r="AV172" s="195" t="s">
        <v>522</v>
      </c>
      <c r="AW172" s="195" t="s">
        <v>525</v>
      </c>
      <c r="AX172" s="195" t="s">
        <v>521</v>
      </c>
      <c r="AZ172"/>
      <c r="BA172"/>
      <c r="BB172"/>
      <c r="BC172"/>
      <c r="BD172" t="str">
        <f>BE35</f>
        <v>Tunesië</v>
      </c>
      <c r="BE172" t="str">
        <f>BE35</f>
        <v>Tunesië</v>
      </c>
      <c r="BF172" s="100" t="str">
        <f>BE59</f>
        <v>Oostenrijk</v>
      </c>
      <c r="BG172" s="152"/>
    </row>
    <row r="173" spans="1:59" s="90" customFormat="1" ht="14.25" customHeight="1" x14ac:dyDescent="0.2">
      <c r="A173" s="127"/>
      <c r="B173"/>
      <c r="C173" s="134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 s="66"/>
      <c r="Y173" s="4"/>
      <c r="Z173" s="4"/>
      <c r="AA173" s="4"/>
      <c r="AB173" s="4"/>
      <c r="AC173" s="4"/>
      <c r="AD173" s="4"/>
      <c r="AE173" s="4"/>
      <c r="AF173" s="4"/>
      <c r="AG173"/>
      <c r="AH173"/>
      <c r="AI173"/>
      <c r="AJ173"/>
      <c r="AK173"/>
      <c r="AL173"/>
      <c r="AM173"/>
      <c r="AN173"/>
      <c r="AO173" s="148">
        <f t="shared" si="125"/>
        <v>8.9275000000000002</v>
      </c>
      <c r="AP173" s="195">
        <v>60</v>
      </c>
      <c r="AQ173" s="195" t="s">
        <v>523</v>
      </c>
      <c r="AR173" s="195" t="s">
        <v>524</v>
      </c>
      <c r="AS173" s="195" t="s">
        <v>529</v>
      </c>
      <c r="AT173" s="195" t="s">
        <v>527</v>
      </c>
      <c r="AU173" s="195" t="s">
        <v>520</v>
      </c>
      <c r="AV173" s="195" t="s">
        <v>522</v>
      </c>
      <c r="AW173" s="195" t="s">
        <v>521</v>
      </c>
      <c r="AX173" s="195" t="s">
        <v>526</v>
      </c>
      <c r="AZ173"/>
      <c r="BA173"/>
      <c r="BB173"/>
      <c r="BC173"/>
      <c r="BD173" t="str">
        <f>BE36</f>
        <v>Zweden</v>
      </c>
      <c r="BE173" t="str">
        <f>BE36</f>
        <v>Zweden</v>
      </c>
      <c r="BF173" s="100" t="str">
        <f>BE60</f>
        <v>Jordanië</v>
      </c>
      <c r="BG173" s="152"/>
    </row>
    <row r="174" spans="1:59" s="90" customFormat="1" ht="14.25" customHeight="1" x14ac:dyDescent="0.2">
      <c r="A174" s="127"/>
      <c r="B174"/>
      <c r="C174" s="13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 s="66"/>
      <c r="Y174" s="4"/>
      <c r="Z174" s="4"/>
      <c r="AA174" s="4"/>
      <c r="AB174" s="4"/>
      <c r="AC174" s="4"/>
      <c r="AD174" s="4"/>
      <c r="AE174" s="4"/>
      <c r="AF174" s="4"/>
      <c r="AG174"/>
      <c r="AH174"/>
      <c r="AI174"/>
      <c r="AJ174"/>
      <c r="AK174"/>
      <c r="AL174"/>
      <c r="AM174"/>
      <c r="AN174"/>
      <c r="AO174" s="148">
        <f t="shared" si="125"/>
        <v>8.927500000000002</v>
      </c>
      <c r="AP174" s="195">
        <v>61</v>
      </c>
      <c r="AQ174" s="195" t="s">
        <v>519</v>
      </c>
      <c r="AR174" s="195" t="s">
        <v>520</v>
      </c>
      <c r="AS174" s="195" t="s">
        <v>529</v>
      </c>
      <c r="AT174" s="195" t="s">
        <v>527</v>
      </c>
      <c r="AU174" s="195" t="s">
        <v>521</v>
      </c>
      <c r="AV174" s="195" t="s">
        <v>523</v>
      </c>
      <c r="AW174" s="195" t="s">
        <v>525</v>
      </c>
      <c r="AX174" s="195" t="s">
        <v>526</v>
      </c>
      <c r="AZ174"/>
      <c r="BA174"/>
      <c r="BB174"/>
      <c r="BC174"/>
      <c r="BD174" t="str">
        <f>BE39</f>
        <v>België</v>
      </c>
      <c r="BE174" t="str">
        <f>BE39</f>
        <v>België</v>
      </c>
      <c r="BF174" s="100" t="str">
        <f>BE63</f>
        <v>Congo</v>
      </c>
      <c r="BG174" s="152"/>
    </row>
    <row r="175" spans="1:59" s="90" customFormat="1" ht="14.25" customHeight="1" x14ac:dyDescent="0.2">
      <c r="A175" s="127"/>
      <c r="B175"/>
      <c r="C175" s="134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 s="66"/>
      <c r="Y175" s="4"/>
      <c r="Z175" s="4"/>
      <c r="AA175" s="4"/>
      <c r="AB175" s="4"/>
      <c r="AC175" s="4"/>
      <c r="AD175" s="4"/>
      <c r="AE175" s="4"/>
      <c r="AF175" s="4"/>
      <c r="AG175"/>
      <c r="AH175"/>
      <c r="AI175"/>
      <c r="AJ175"/>
      <c r="AK175"/>
      <c r="AL175"/>
      <c r="AM175"/>
      <c r="AN175"/>
      <c r="AO175" s="148">
        <f t="shared" si="125"/>
        <v>8.9243000000000023</v>
      </c>
      <c r="AP175" s="195">
        <v>62</v>
      </c>
      <c r="AQ175" s="195" t="s">
        <v>519</v>
      </c>
      <c r="AR175" s="195" t="s">
        <v>520</v>
      </c>
      <c r="AS175" s="195" t="s">
        <v>529</v>
      </c>
      <c r="AT175" s="195" t="s">
        <v>527</v>
      </c>
      <c r="AU175" s="195" t="s">
        <v>521</v>
      </c>
      <c r="AV175" s="195" t="s">
        <v>524</v>
      </c>
      <c r="AW175" s="195" t="s">
        <v>525</v>
      </c>
      <c r="AX175" s="195" t="s">
        <v>526</v>
      </c>
      <c r="AZ175"/>
      <c r="BA175"/>
      <c r="BB175"/>
      <c r="BC175"/>
      <c r="BD175" t="str">
        <f>BE40</f>
        <v>Egypte</v>
      </c>
      <c r="BE175" t="str">
        <f>BE40</f>
        <v>Egypte</v>
      </c>
      <c r="BF175" s="100" t="str">
        <f>BE64</f>
        <v>Portugal</v>
      </c>
      <c r="BG175" s="152"/>
    </row>
    <row r="176" spans="1:59" s="90" customFormat="1" ht="14.25" customHeight="1" x14ac:dyDescent="0.2">
      <c r="A176" s="127"/>
      <c r="B176"/>
      <c r="C176" s="134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 s="66"/>
      <c r="Y176" s="4"/>
      <c r="Z176" s="4"/>
      <c r="AA176" s="4"/>
      <c r="AB176" s="4"/>
      <c r="AC176" s="4"/>
      <c r="AD176" s="4"/>
      <c r="AE176" s="4"/>
      <c r="AF176" s="4"/>
      <c r="AG176"/>
      <c r="AH176"/>
      <c r="AI176"/>
      <c r="AJ176"/>
      <c r="AK176"/>
      <c r="AL176"/>
      <c r="AM176"/>
      <c r="AN176"/>
      <c r="AO176" s="148">
        <f t="shared" si="125"/>
        <v>8.9273000000000025</v>
      </c>
      <c r="AP176" s="195">
        <v>63</v>
      </c>
      <c r="AQ176" s="195" t="s">
        <v>519</v>
      </c>
      <c r="AR176" s="195" t="s">
        <v>520</v>
      </c>
      <c r="AS176" s="195" t="s">
        <v>529</v>
      </c>
      <c r="AT176" s="195" t="s">
        <v>527</v>
      </c>
      <c r="AU176" s="195" t="s">
        <v>523</v>
      </c>
      <c r="AV176" s="195" t="s">
        <v>524</v>
      </c>
      <c r="AW176" s="195" t="s">
        <v>525</v>
      </c>
      <c r="AX176" s="195" t="s">
        <v>526</v>
      </c>
      <c r="AZ176"/>
      <c r="BA176"/>
      <c r="BB176"/>
      <c r="BC176"/>
      <c r="BD176" t="str">
        <f>BE41</f>
        <v>Iran</v>
      </c>
      <c r="BE176" t="str">
        <f>BE41</f>
        <v>Iran</v>
      </c>
      <c r="BF176" s="100" t="str">
        <f>BE65</f>
        <v>Oezbekistan</v>
      </c>
      <c r="BG176" s="152"/>
    </row>
    <row r="177" spans="1:59" s="90" customFormat="1" ht="14.25" customHeight="1" x14ac:dyDescent="0.2">
      <c r="A177" s="127"/>
      <c r="B177"/>
      <c r="C177" s="134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 s="66"/>
      <c r="Y177" s="4"/>
      <c r="Z177" s="4"/>
      <c r="AA177" s="4"/>
      <c r="AB177" s="4"/>
      <c r="AC177" s="4"/>
      <c r="AD177" s="4"/>
      <c r="AE177" s="4"/>
      <c r="AF177" s="4"/>
      <c r="AG177"/>
      <c r="AH177"/>
      <c r="AI177"/>
      <c r="AJ177"/>
      <c r="AK177"/>
      <c r="AL177"/>
      <c r="AM177"/>
      <c r="AN177"/>
      <c r="AO177" s="148">
        <f t="shared" si="125"/>
        <v>8.9276000000000018</v>
      </c>
      <c r="AP177" s="195">
        <v>64</v>
      </c>
      <c r="AQ177" s="195" t="s">
        <v>519</v>
      </c>
      <c r="AR177" s="195" t="s">
        <v>524</v>
      </c>
      <c r="AS177" s="195" t="s">
        <v>529</v>
      </c>
      <c r="AT177" s="195" t="s">
        <v>527</v>
      </c>
      <c r="AU177" s="195" t="s">
        <v>521</v>
      </c>
      <c r="AV177" s="195" t="s">
        <v>523</v>
      </c>
      <c r="AW177" s="195" t="s">
        <v>525</v>
      </c>
      <c r="AX177" s="195" t="s">
        <v>526</v>
      </c>
      <c r="AZ177"/>
      <c r="BA177"/>
      <c r="BB177"/>
      <c r="BC177"/>
      <c r="BD177" t="str">
        <f>BE42</f>
        <v>Nieuw-Zeeland</v>
      </c>
      <c r="BE177" t="str">
        <f>BE42</f>
        <v>Nieuw-Zeeland</v>
      </c>
      <c r="BF177" s="100" t="str">
        <f t="shared" ref="BF177" si="143">BE66</f>
        <v>Colombia</v>
      </c>
      <c r="BG177" s="152"/>
    </row>
    <row r="178" spans="1:59" s="90" customFormat="1" ht="14.25" customHeight="1" x14ac:dyDescent="0.2">
      <c r="A178" s="127"/>
      <c r="B178"/>
      <c r="C178" s="134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 s="66"/>
      <c r="Y178" s="4"/>
      <c r="Z178" s="4"/>
      <c r="AA178" s="4"/>
      <c r="AB178" s="4"/>
      <c r="AC178" s="4"/>
      <c r="AD178" s="4"/>
      <c r="AE178" s="4"/>
      <c r="AF178" s="4"/>
      <c r="AG178"/>
      <c r="AH178"/>
      <c r="AI178"/>
      <c r="AJ178"/>
      <c r="AK178"/>
      <c r="AL178"/>
      <c r="AM178"/>
      <c r="AN178"/>
      <c r="AO178" s="148">
        <f t="shared" ref="AO178:AO241" si="144">VLOOKUP(AQ178,$AN$98:$BA$109,14,0)+VLOOKUP(AR178,$AN$98:$BA$109,14,0)+VLOOKUP(AS178,$AN$98:$BA$109,14,0)+VLOOKUP(AT178,$AN$98:$BA$109,14,0)+VLOOKUP(AU178,$AN$98:$BA$109,14,0)+VLOOKUP(AV178,$AN$98:$BA$109,14,0)+VLOOKUP(AW178,$AN$98:$BA$109,14,0)+VLOOKUP(AX178,$AN$98:$BA$109,14,0)</f>
        <v>8.9258000000000024</v>
      </c>
      <c r="AP178" s="195">
        <v>65</v>
      </c>
      <c r="AQ178" s="195" t="s">
        <v>519</v>
      </c>
      <c r="AR178" s="195" t="s">
        <v>520</v>
      </c>
      <c r="AS178" s="195" t="s">
        <v>529</v>
      </c>
      <c r="AT178" s="195" t="s">
        <v>527</v>
      </c>
      <c r="AU178" s="195" t="s">
        <v>523</v>
      </c>
      <c r="AV178" s="195" t="s">
        <v>524</v>
      </c>
      <c r="AW178" s="195" t="s">
        <v>525</v>
      </c>
      <c r="AX178" s="195" t="s">
        <v>521</v>
      </c>
      <c r="AZ178"/>
      <c r="BA178"/>
      <c r="BB178"/>
      <c r="BC178"/>
      <c r="BD178" t="str">
        <f>BE45</f>
        <v>Spanje</v>
      </c>
      <c r="BE178" t="str">
        <f>BE45</f>
        <v>Spanje</v>
      </c>
      <c r="BF178" s="100" t="str">
        <f>BE69</f>
        <v>Engeland</v>
      </c>
      <c r="BG178" s="152"/>
    </row>
    <row r="179" spans="1:59" s="90" customFormat="1" ht="14.25" customHeight="1" x14ac:dyDescent="0.2">
      <c r="A179" s="127"/>
      <c r="B179"/>
      <c r="C179" s="134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 s="66"/>
      <c r="Y179" s="4"/>
      <c r="Z179" s="4"/>
      <c r="AA179" s="4"/>
      <c r="AB179" s="4"/>
      <c r="AC179" s="4"/>
      <c r="AD179" s="4"/>
      <c r="AE179" s="4"/>
      <c r="AF179" s="4"/>
      <c r="AG179"/>
      <c r="AH179"/>
      <c r="AI179"/>
      <c r="AJ179"/>
      <c r="AK179"/>
      <c r="AL179"/>
      <c r="AM179"/>
      <c r="AN179"/>
      <c r="AO179" s="148">
        <f t="shared" si="144"/>
        <v>8.9271000000000011</v>
      </c>
      <c r="AP179" s="195">
        <v>66</v>
      </c>
      <c r="AQ179" s="195" t="s">
        <v>519</v>
      </c>
      <c r="AR179" s="195" t="s">
        <v>520</v>
      </c>
      <c r="AS179" s="195" t="s">
        <v>529</v>
      </c>
      <c r="AT179" s="195" t="s">
        <v>527</v>
      </c>
      <c r="AU179" s="195" t="s">
        <v>523</v>
      </c>
      <c r="AV179" s="195" t="s">
        <v>524</v>
      </c>
      <c r="AW179" s="195" t="s">
        <v>521</v>
      </c>
      <c r="AX179" s="195" t="s">
        <v>526</v>
      </c>
      <c r="AZ179"/>
      <c r="BA179"/>
      <c r="BB179"/>
      <c r="BC179"/>
      <c r="BD179" t="str">
        <f>BE46</f>
        <v>Kaapverdië</v>
      </c>
      <c r="BE179" t="str">
        <f>BE46</f>
        <v>Kaapverdië</v>
      </c>
      <c r="BF179" s="100" t="str">
        <f>BE70</f>
        <v>Kroatië</v>
      </c>
      <c r="BG179" s="152"/>
    </row>
    <row r="180" spans="1:59" s="90" customFormat="1" ht="14.25" customHeight="1" x14ac:dyDescent="0.2">
      <c r="A180" s="127"/>
      <c r="B180"/>
      <c r="C180" s="134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 s="66"/>
      <c r="Y180" s="4"/>
      <c r="Z180" s="4"/>
      <c r="AA180" s="4"/>
      <c r="AB180" s="4"/>
      <c r="AC180" s="4"/>
      <c r="AD180" s="4"/>
      <c r="AE180" s="4"/>
      <c r="AF180" s="4"/>
      <c r="AG180"/>
      <c r="AH180"/>
      <c r="AI180"/>
      <c r="AJ180"/>
      <c r="AK180"/>
      <c r="AL180"/>
      <c r="AM180"/>
      <c r="AN180"/>
      <c r="AO180" s="148">
        <f t="shared" si="144"/>
        <v>8.9252000000000002</v>
      </c>
      <c r="AP180" s="195">
        <v>67</v>
      </c>
      <c r="AQ180" s="195" t="s">
        <v>519</v>
      </c>
      <c r="AR180" s="195" t="s">
        <v>520</v>
      </c>
      <c r="AS180" s="195" t="s">
        <v>529</v>
      </c>
      <c r="AT180" s="195" t="s">
        <v>527</v>
      </c>
      <c r="AU180" s="195" t="s">
        <v>521</v>
      </c>
      <c r="AV180" s="195" t="s">
        <v>522</v>
      </c>
      <c r="AW180" s="195" t="s">
        <v>525</v>
      </c>
      <c r="AX180" s="195" t="s">
        <v>526</v>
      </c>
      <c r="AZ180"/>
      <c r="BA180"/>
      <c r="BB180"/>
      <c r="BC180"/>
      <c r="BD180" t="str">
        <f>BE47</f>
        <v>Saoedi-Arabië</v>
      </c>
      <c r="BE180" t="str">
        <f>BE47</f>
        <v>Saoedi-Arabië</v>
      </c>
      <c r="BF180" s="100" t="str">
        <f>BE71</f>
        <v>Ghana</v>
      </c>
      <c r="BG180" s="152"/>
    </row>
    <row r="181" spans="1:59" s="90" customFormat="1" ht="14.25" customHeight="1" x14ac:dyDescent="0.2">
      <c r="A181" s="127"/>
      <c r="B181"/>
      <c r="C181" s="134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 s="66"/>
      <c r="Y181" s="4"/>
      <c r="Z181" s="4"/>
      <c r="AA181" s="4"/>
      <c r="AB181" s="4"/>
      <c r="AC181" s="4"/>
      <c r="AD181" s="4"/>
      <c r="AE181" s="4"/>
      <c r="AF181" s="4"/>
      <c r="AG181"/>
      <c r="AH181"/>
      <c r="AI181"/>
      <c r="AJ181"/>
      <c r="AK181"/>
      <c r="AL181"/>
      <c r="AM181"/>
      <c r="AN181"/>
      <c r="AO181" s="148">
        <f t="shared" si="144"/>
        <v>8.9282000000000004</v>
      </c>
      <c r="AP181" s="195">
        <v>68</v>
      </c>
      <c r="AQ181" s="195" t="s">
        <v>519</v>
      </c>
      <c r="AR181" s="195" t="s">
        <v>520</v>
      </c>
      <c r="AS181" s="195" t="s">
        <v>529</v>
      </c>
      <c r="AT181" s="195" t="s">
        <v>527</v>
      </c>
      <c r="AU181" s="195" t="s">
        <v>523</v>
      </c>
      <c r="AV181" s="195" t="s">
        <v>522</v>
      </c>
      <c r="AW181" s="195" t="s">
        <v>525</v>
      </c>
      <c r="AX181" s="195" t="s">
        <v>526</v>
      </c>
      <c r="AZ181"/>
      <c r="BA181"/>
      <c r="BB181"/>
      <c r="BC181"/>
      <c r="BD181" t="str">
        <f>BE48</f>
        <v>Uruguay</v>
      </c>
      <c r="BE181" t="str">
        <f>BE48</f>
        <v>Uruguay</v>
      </c>
      <c r="BF181" s="100" t="str">
        <f>BE72</f>
        <v>Panama</v>
      </c>
      <c r="BG181" s="152"/>
    </row>
    <row r="182" spans="1:59" s="90" customFormat="1" ht="14.25" customHeight="1" x14ac:dyDescent="0.2">
      <c r="A182" s="127"/>
      <c r="B182"/>
      <c r="C182" s="134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 s="66"/>
      <c r="Y182" s="4"/>
      <c r="Z182" s="4"/>
      <c r="AA182" s="4"/>
      <c r="AB182" s="4"/>
      <c r="AC182" s="4"/>
      <c r="AD182" s="4"/>
      <c r="AE182" s="4"/>
      <c r="AF182" s="4"/>
      <c r="AG182"/>
      <c r="AH182"/>
      <c r="AI182"/>
      <c r="AJ182"/>
      <c r="AK182"/>
      <c r="AL182"/>
      <c r="AM182"/>
      <c r="AN182"/>
      <c r="AO182" s="148">
        <f t="shared" si="144"/>
        <v>8.9284999999999997</v>
      </c>
      <c r="AP182" s="195">
        <v>69</v>
      </c>
      <c r="AQ182" s="195" t="s">
        <v>519</v>
      </c>
      <c r="AR182" s="195" t="s">
        <v>521</v>
      </c>
      <c r="AS182" s="195" t="s">
        <v>529</v>
      </c>
      <c r="AT182" s="195" t="s">
        <v>527</v>
      </c>
      <c r="AU182" s="195" t="s">
        <v>523</v>
      </c>
      <c r="AV182" s="195" t="s">
        <v>522</v>
      </c>
      <c r="AW182" s="195" t="s">
        <v>525</v>
      </c>
      <c r="AX182" s="195" t="s">
        <v>526</v>
      </c>
      <c r="AZ182"/>
      <c r="BA182"/>
      <c r="BB182"/>
      <c r="BC182"/>
      <c r="BD182"/>
      <c r="BE182" t="str">
        <f t="shared" ref="BE182:BE185" si="145">BE51</f>
        <v>Irak</v>
      </c>
      <c r="BF182" s="100"/>
      <c r="BG182" s="152"/>
    </row>
    <row r="183" spans="1:59" s="90" customFormat="1" ht="14.25" customHeight="1" x14ac:dyDescent="0.2">
      <c r="A183" s="127"/>
      <c r="B183"/>
      <c r="C183" s="134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 s="66"/>
      <c r="Y183" s="4"/>
      <c r="Z183" s="4"/>
      <c r="AA183" s="4"/>
      <c r="AB183" s="4"/>
      <c r="AC183" s="4"/>
      <c r="AD183" s="4"/>
      <c r="AE183" s="4"/>
      <c r="AF183" s="4"/>
      <c r="AG183"/>
      <c r="AH183"/>
      <c r="AI183"/>
      <c r="AJ183"/>
      <c r="AK183"/>
      <c r="AL183"/>
      <c r="AM183"/>
      <c r="AN183"/>
      <c r="AO183" s="148">
        <f t="shared" si="144"/>
        <v>8.9267000000000021</v>
      </c>
      <c r="AP183" s="195">
        <v>70</v>
      </c>
      <c r="AQ183" s="195" t="s">
        <v>519</v>
      </c>
      <c r="AR183" s="195" t="s">
        <v>520</v>
      </c>
      <c r="AS183" s="195" t="s">
        <v>529</v>
      </c>
      <c r="AT183" s="195" t="s">
        <v>527</v>
      </c>
      <c r="AU183" s="195" t="s">
        <v>523</v>
      </c>
      <c r="AV183" s="195" t="s">
        <v>522</v>
      </c>
      <c r="AW183" s="195" t="s">
        <v>525</v>
      </c>
      <c r="AX183" s="195" t="s">
        <v>521</v>
      </c>
      <c r="AZ183"/>
      <c r="BA183"/>
      <c r="BB183"/>
      <c r="BC183"/>
      <c r="BD183"/>
      <c r="BE183" t="str">
        <f t="shared" si="145"/>
        <v>Frankrijk</v>
      </c>
      <c r="BF183" s="212" t="s">
        <v>690</v>
      </c>
      <c r="BG183" s="152"/>
    </row>
    <row r="184" spans="1:59" s="90" customFormat="1" ht="14.25" customHeight="1" x14ac:dyDescent="0.2">
      <c r="A184" s="127"/>
      <c r="B184"/>
      <c r="C184" s="13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 s="66"/>
      <c r="Y184" s="4"/>
      <c r="Z184" s="4"/>
      <c r="AA184" s="4"/>
      <c r="AB184" s="4"/>
      <c r="AC184" s="4"/>
      <c r="AD184" s="4"/>
      <c r="AE184" s="4"/>
      <c r="AF184" s="4"/>
      <c r="AG184"/>
      <c r="AH184"/>
      <c r="AI184"/>
      <c r="AJ184"/>
      <c r="AK184"/>
      <c r="AL184"/>
      <c r="AM184"/>
      <c r="AN184"/>
      <c r="AO184" s="148">
        <f t="shared" si="144"/>
        <v>8.9280000000000008</v>
      </c>
      <c r="AP184" s="195">
        <v>71</v>
      </c>
      <c r="AQ184" s="195" t="s">
        <v>519</v>
      </c>
      <c r="AR184" s="195" t="s">
        <v>520</v>
      </c>
      <c r="AS184" s="195" t="s">
        <v>529</v>
      </c>
      <c r="AT184" s="195" t="s">
        <v>527</v>
      </c>
      <c r="AU184" s="195" t="s">
        <v>523</v>
      </c>
      <c r="AV184" s="195" t="s">
        <v>522</v>
      </c>
      <c r="AW184" s="195" t="s">
        <v>521</v>
      </c>
      <c r="AX184" s="195" t="s">
        <v>526</v>
      </c>
      <c r="AZ184"/>
      <c r="BA184"/>
      <c r="BB184"/>
      <c r="BC184"/>
      <c r="BD184"/>
      <c r="BE184" t="str">
        <f t="shared" si="145"/>
        <v>Senegal</v>
      </c>
      <c r="BF184" s="100" t="str">
        <f t="shared" ref="BF184:BF187" si="146">BE45</f>
        <v>Spanje</v>
      </c>
      <c r="BG184" s="152"/>
    </row>
    <row r="185" spans="1:59" s="90" customFormat="1" ht="14.25" customHeight="1" x14ac:dyDescent="0.2">
      <c r="A185" s="127"/>
      <c r="B185"/>
      <c r="C185" s="134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  <c r="V185"/>
      <c r="W185"/>
      <c r="X185" s="66"/>
      <c r="Y185" s="4"/>
      <c r="Z185" s="4"/>
      <c r="AA185" s="4"/>
      <c r="AB185" s="4"/>
      <c r="AC185" s="4"/>
      <c r="AD185" s="4"/>
      <c r="AE185" s="4"/>
      <c r="AF185" s="4"/>
      <c r="AG185"/>
      <c r="AH185"/>
      <c r="AI185"/>
      <c r="AJ185"/>
      <c r="AK185"/>
      <c r="AL185"/>
      <c r="AM185"/>
      <c r="AN185"/>
      <c r="AO185" s="148">
        <f t="shared" si="144"/>
        <v>8.9250000000000007</v>
      </c>
      <c r="AP185" s="195">
        <v>72</v>
      </c>
      <c r="AQ185" s="195" t="s">
        <v>519</v>
      </c>
      <c r="AR185" s="195" t="s">
        <v>524</v>
      </c>
      <c r="AS185" s="195" t="s">
        <v>529</v>
      </c>
      <c r="AT185" s="195" t="s">
        <v>527</v>
      </c>
      <c r="AU185" s="195" t="s">
        <v>520</v>
      </c>
      <c r="AV185" s="195" t="s">
        <v>522</v>
      </c>
      <c r="AW185" s="195" t="s">
        <v>525</v>
      </c>
      <c r="AX185" s="195" t="s">
        <v>526</v>
      </c>
      <c r="AZ185"/>
      <c r="BA185"/>
      <c r="BB185"/>
      <c r="BC185"/>
      <c r="BD185"/>
      <c r="BE185" s="90" t="str">
        <f t="shared" si="145"/>
        <v>Noorwegen</v>
      </c>
      <c r="BF185" s="100" t="str">
        <f t="shared" si="146"/>
        <v>Kaapverdië</v>
      </c>
      <c r="BG185" s="152"/>
    </row>
    <row r="186" spans="1:59" s="90" customFormat="1" ht="14.25" customHeight="1" x14ac:dyDescent="0.2">
      <c r="A186" s="127"/>
      <c r="B186"/>
      <c r="C186" s="134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 s="66"/>
      <c r="Y186" s="4"/>
      <c r="Z186" s="4"/>
      <c r="AA186" s="4"/>
      <c r="AB186" s="4"/>
      <c r="AC186" s="4"/>
      <c r="AD186" s="4"/>
      <c r="AE186" s="4"/>
      <c r="AF186" s="4"/>
      <c r="AG186"/>
      <c r="AH186"/>
      <c r="AI186"/>
      <c r="AJ186"/>
      <c r="AK186"/>
      <c r="AL186"/>
      <c r="AM186"/>
      <c r="AN186"/>
      <c r="AO186" s="148">
        <f t="shared" si="144"/>
        <v>8.9253</v>
      </c>
      <c r="AP186" s="195">
        <v>73</v>
      </c>
      <c r="AQ186" s="195" t="s">
        <v>519</v>
      </c>
      <c r="AR186" s="195" t="s">
        <v>524</v>
      </c>
      <c r="AS186" s="195" t="s">
        <v>529</v>
      </c>
      <c r="AT186" s="195" t="s">
        <v>527</v>
      </c>
      <c r="AU186" s="195" t="s">
        <v>521</v>
      </c>
      <c r="AV186" s="195" t="s">
        <v>522</v>
      </c>
      <c r="AW186" s="195" t="s">
        <v>525</v>
      </c>
      <c r="AX186" s="195" t="s">
        <v>526</v>
      </c>
      <c r="AZ186"/>
      <c r="BA186"/>
      <c r="BB186"/>
      <c r="BC186"/>
      <c r="BD186"/>
      <c r="BE186"/>
      <c r="BF186" s="100" t="str">
        <f t="shared" si="146"/>
        <v>Saoedi-Arabië</v>
      </c>
      <c r="BG186" s="152"/>
    </row>
    <row r="187" spans="1:59" s="90" customFormat="1" ht="14.25" customHeight="1" x14ac:dyDescent="0.2">
      <c r="A187" s="127"/>
      <c r="B187"/>
      <c r="C187" s="134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 s="66"/>
      <c r="Y187" s="4"/>
      <c r="Z187" s="4"/>
      <c r="AA187" s="4"/>
      <c r="AB187" s="4"/>
      <c r="AC187" s="4"/>
      <c r="AD187" s="4"/>
      <c r="AE187" s="4"/>
      <c r="AF187" s="4"/>
      <c r="AG187"/>
      <c r="AH187"/>
      <c r="AI187"/>
      <c r="AJ187"/>
      <c r="AK187"/>
      <c r="AL187"/>
      <c r="AM187"/>
      <c r="AN187"/>
      <c r="AO187" s="148">
        <f t="shared" si="144"/>
        <v>8.9235000000000007</v>
      </c>
      <c r="AP187" s="195">
        <v>74</v>
      </c>
      <c r="AQ187" s="195" t="s">
        <v>519</v>
      </c>
      <c r="AR187" s="195" t="s">
        <v>524</v>
      </c>
      <c r="AS187" s="195" t="s">
        <v>529</v>
      </c>
      <c r="AT187" s="195" t="s">
        <v>527</v>
      </c>
      <c r="AU187" s="195" t="s">
        <v>520</v>
      </c>
      <c r="AV187" s="195" t="s">
        <v>522</v>
      </c>
      <c r="AW187" s="195" t="s">
        <v>525</v>
      </c>
      <c r="AX187" s="195" t="s">
        <v>521</v>
      </c>
      <c r="AZ187"/>
      <c r="BA187"/>
      <c r="BB187"/>
      <c r="BC187"/>
      <c r="BD187" s="91" t="s">
        <v>702</v>
      </c>
      <c r="BE187" s="91" t="s">
        <v>705</v>
      </c>
      <c r="BF187" s="100" t="str">
        <f t="shared" si="146"/>
        <v>Uruguay</v>
      </c>
      <c r="BG187" s="152"/>
    </row>
    <row r="188" spans="1:59" s="90" customFormat="1" ht="14.25" customHeight="1" x14ac:dyDescent="0.2">
      <c r="A188" s="127"/>
      <c r="B188"/>
      <c r="C188" s="134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  <c r="V188"/>
      <c r="W188"/>
      <c r="X188" s="66"/>
      <c r="Y188" s="4"/>
      <c r="Z188" s="4"/>
      <c r="AA188" s="4"/>
      <c r="AB188" s="4"/>
      <c r="AC188" s="4"/>
      <c r="AD188" s="4"/>
      <c r="AE188" s="4"/>
      <c r="AF188" s="4"/>
      <c r="AG188"/>
      <c r="AH188"/>
      <c r="AI188"/>
      <c r="AJ188"/>
      <c r="AK188"/>
      <c r="AL188"/>
      <c r="AM188"/>
      <c r="AN188"/>
      <c r="AO188" s="148">
        <f t="shared" si="144"/>
        <v>8.9248000000000012</v>
      </c>
      <c r="AP188" s="195">
        <v>75</v>
      </c>
      <c r="AQ188" s="195" t="s">
        <v>519</v>
      </c>
      <c r="AR188" s="195" t="s">
        <v>524</v>
      </c>
      <c r="AS188" s="195" t="s">
        <v>529</v>
      </c>
      <c r="AT188" s="195" t="s">
        <v>527</v>
      </c>
      <c r="AU188" s="195" t="s">
        <v>520</v>
      </c>
      <c r="AV188" s="195" t="s">
        <v>522</v>
      </c>
      <c r="AW188" s="195" t="s">
        <v>521</v>
      </c>
      <c r="AX188" s="195" t="s">
        <v>526</v>
      </c>
      <c r="AZ188"/>
      <c r="BA188"/>
      <c r="BB188"/>
      <c r="BC188"/>
      <c r="BD188" t="str">
        <f>BE15</f>
        <v>Brazilië</v>
      </c>
      <c r="BE188" s="4" t="str">
        <f t="shared" ref="BE188:BE191" si="147">BE3</f>
        <v>Mexico</v>
      </c>
      <c r="BF188" s="100" t="str">
        <f>BE57</f>
        <v>Argentinië</v>
      </c>
      <c r="BG188" s="152"/>
    </row>
    <row r="189" spans="1:59" s="90" customFormat="1" ht="14.25" customHeight="1" x14ac:dyDescent="0.2">
      <c r="A189" s="127"/>
      <c r="B189"/>
      <c r="C189" s="134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  <c r="X189" s="66"/>
      <c r="Y189" s="4"/>
      <c r="Z189" s="4"/>
      <c r="AA189" s="4"/>
      <c r="AB189" s="4"/>
      <c r="AC189" s="4"/>
      <c r="AD189" s="4"/>
      <c r="AE189" s="4"/>
      <c r="AF189" s="4"/>
      <c r="AG189"/>
      <c r="AH189"/>
      <c r="AI189"/>
      <c r="AJ189"/>
      <c r="AK189"/>
      <c r="AL189"/>
      <c r="AM189"/>
      <c r="AN189"/>
      <c r="AO189" s="148">
        <f t="shared" si="144"/>
        <v>8.9283000000000001</v>
      </c>
      <c r="AP189" s="195">
        <v>76</v>
      </c>
      <c r="AQ189" s="195" t="s">
        <v>519</v>
      </c>
      <c r="AR189" s="195" t="s">
        <v>524</v>
      </c>
      <c r="AS189" s="195" t="s">
        <v>529</v>
      </c>
      <c r="AT189" s="195" t="s">
        <v>527</v>
      </c>
      <c r="AU189" s="195" t="s">
        <v>523</v>
      </c>
      <c r="AV189" s="195" t="s">
        <v>522</v>
      </c>
      <c r="AW189" s="195" t="s">
        <v>525</v>
      </c>
      <c r="AX189" s="195" t="s">
        <v>526</v>
      </c>
      <c r="AZ189"/>
      <c r="BA189"/>
      <c r="BB189"/>
      <c r="BC189"/>
      <c r="BD189" t="str">
        <f>BE16</f>
        <v>Marokko</v>
      </c>
      <c r="BE189" s="4" t="str">
        <f t="shared" si="147"/>
        <v>Zuid-Afrika</v>
      </c>
      <c r="BF189" s="100" t="str">
        <f>BE58</f>
        <v>Algerije</v>
      </c>
      <c r="BG189" s="152"/>
    </row>
    <row r="190" spans="1:59" s="90" customFormat="1" ht="14.25" customHeight="1" x14ac:dyDescent="0.2">
      <c r="A190" s="127"/>
      <c r="B190"/>
      <c r="C190" s="134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 s="66"/>
      <c r="Y190" s="4"/>
      <c r="Z190" s="4"/>
      <c r="AA190" s="4"/>
      <c r="AB190" s="4"/>
      <c r="AC190" s="4"/>
      <c r="AD190" s="4"/>
      <c r="AE190" s="4"/>
      <c r="AF190" s="4"/>
      <c r="AG190"/>
      <c r="AH190"/>
      <c r="AI190"/>
      <c r="AJ190"/>
      <c r="AK190"/>
      <c r="AL190"/>
      <c r="AM190"/>
      <c r="AN190"/>
      <c r="AO190" s="148">
        <f t="shared" si="144"/>
        <v>8.9265000000000008</v>
      </c>
      <c r="AP190" s="195">
        <v>77</v>
      </c>
      <c r="AQ190" s="195" t="s">
        <v>523</v>
      </c>
      <c r="AR190" s="195" t="s">
        <v>524</v>
      </c>
      <c r="AS190" s="195" t="s">
        <v>529</v>
      </c>
      <c r="AT190" s="195" t="s">
        <v>527</v>
      </c>
      <c r="AU190" s="195" t="s">
        <v>520</v>
      </c>
      <c r="AV190" s="195" t="s">
        <v>522</v>
      </c>
      <c r="AW190" s="195" t="s">
        <v>525</v>
      </c>
      <c r="AX190" s="195" t="s">
        <v>519</v>
      </c>
      <c r="AZ190"/>
      <c r="BA190"/>
      <c r="BB190"/>
      <c r="BC190"/>
      <c r="BD190" t="str">
        <f>BE17</f>
        <v>Haïti</v>
      </c>
      <c r="BE190" s="4" t="str">
        <f t="shared" si="147"/>
        <v>Zuid-Korea</v>
      </c>
      <c r="BF190" s="100" t="str">
        <f>BE59</f>
        <v>Oostenrijk</v>
      </c>
      <c r="BG190" s="152"/>
    </row>
    <row r="191" spans="1:59" s="90" customFormat="1" ht="14.25" customHeight="1" x14ac:dyDescent="0.2">
      <c r="A191" s="127"/>
      <c r="B191"/>
      <c r="C191" s="134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  <c r="V191"/>
      <c r="W191"/>
      <c r="X191" s="66"/>
      <c r="Y191" s="4"/>
      <c r="Z191" s="4"/>
      <c r="AA191" s="4"/>
      <c r="AB191" s="4"/>
      <c r="AC191" s="4"/>
      <c r="AD191" s="4"/>
      <c r="AE191" s="4"/>
      <c r="AF191" s="4"/>
      <c r="AG191"/>
      <c r="AH191"/>
      <c r="AI191"/>
      <c r="AJ191"/>
      <c r="AK191"/>
      <c r="AL191"/>
      <c r="AM191"/>
      <c r="AN191"/>
      <c r="AO191" s="148">
        <f t="shared" si="144"/>
        <v>8.9278000000000013</v>
      </c>
      <c r="AP191" s="195">
        <v>78</v>
      </c>
      <c r="AQ191" s="195" t="s">
        <v>523</v>
      </c>
      <c r="AR191" s="195" t="s">
        <v>524</v>
      </c>
      <c r="AS191" s="195" t="s">
        <v>529</v>
      </c>
      <c r="AT191" s="195" t="s">
        <v>527</v>
      </c>
      <c r="AU191" s="195" t="s">
        <v>520</v>
      </c>
      <c r="AV191" s="195" t="s">
        <v>522</v>
      </c>
      <c r="AW191" s="195" t="s">
        <v>519</v>
      </c>
      <c r="AX191" s="195" t="s">
        <v>526</v>
      </c>
      <c r="AZ191"/>
      <c r="BA191"/>
      <c r="BB191"/>
      <c r="BC191"/>
      <c r="BD191" t="str">
        <f>BE18</f>
        <v>Schotland</v>
      </c>
      <c r="BE191" s="4" t="str">
        <f t="shared" si="147"/>
        <v>Tsjechië</v>
      </c>
      <c r="BF191" s="100" t="str">
        <f>BE60</f>
        <v>Jordanië</v>
      </c>
      <c r="BG191" s="152"/>
    </row>
    <row r="192" spans="1:59" s="90" customFormat="1" ht="14.25" customHeight="1" x14ac:dyDescent="0.2">
      <c r="A192" s="127"/>
      <c r="B192"/>
      <c r="C192" s="134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  <c r="W192"/>
      <c r="X192" s="66"/>
      <c r="Y192" s="4"/>
      <c r="Z192" s="4"/>
      <c r="AA192" s="4"/>
      <c r="AB192" s="4"/>
      <c r="AC192" s="4"/>
      <c r="AD192" s="4"/>
      <c r="AE192" s="4"/>
      <c r="AF192" s="4"/>
      <c r="AG192"/>
      <c r="AH192"/>
      <c r="AI192"/>
      <c r="AJ192"/>
      <c r="AK192"/>
      <c r="AL192"/>
      <c r="AM192"/>
      <c r="AN192"/>
      <c r="AO192" s="148">
        <f t="shared" si="144"/>
        <v>8.9268000000000018</v>
      </c>
      <c r="AP192" s="195">
        <v>79</v>
      </c>
      <c r="AQ192" s="195" t="s">
        <v>519</v>
      </c>
      <c r="AR192" s="195" t="s">
        <v>524</v>
      </c>
      <c r="AS192" s="195" t="s">
        <v>529</v>
      </c>
      <c r="AT192" s="195" t="s">
        <v>527</v>
      </c>
      <c r="AU192" s="195" t="s">
        <v>523</v>
      </c>
      <c r="AV192" s="195" t="s">
        <v>522</v>
      </c>
      <c r="AW192" s="195" t="s">
        <v>525</v>
      </c>
      <c r="AX192" s="195" t="s">
        <v>521</v>
      </c>
      <c r="AZ192"/>
      <c r="BA192"/>
      <c r="BB192"/>
      <c r="BC192"/>
      <c r="BD192" t="str">
        <f>BE27</f>
        <v>Duitsland</v>
      </c>
      <c r="BE192" s="90" t="str">
        <f>BE15</f>
        <v>Brazilië</v>
      </c>
      <c r="BF192" s="100" t="str">
        <f>BE63</f>
        <v>Congo</v>
      </c>
      <c r="BG192" s="152"/>
    </row>
    <row r="193" spans="1:59" s="90" customFormat="1" ht="14.25" customHeight="1" x14ac:dyDescent="0.2">
      <c r="A193" s="127"/>
      <c r="B193"/>
      <c r="C193" s="134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 s="66"/>
      <c r="Y193" s="4"/>
      <c r="Z193" s="4"/>
      <c r="AA193" s="4"/>
      <c r="AB193" s="4"/>
      <c r="AC193" s="4"/>
      <c r="AD193" s="4"/>
      <c r="AE193" s="4"/>
      <c r="AF193" s="4"/>
      <c r="AG193"/>
      <c r="AH193"/>
      <c r="AI193"/>
      <c r="AJ193"/>
      <c r="AK193"/>
      <c r="AL193"/>
      <c r="AM193"/>
      <c r="AN193"/>
      <c r="AO193" s="148">
        <f t="shared" si="144"/>
        <v>8.9281000000000006</v>
      </c>
      <c r="AP193" s="195">
        <v>80</v>
      </c>
      <c r="AQ193" s="195" t="s">
        <v>519</v>
      </c>
      <c r="AR193" s="195" t="s">
        <v>524</v>
      </c>
      <c r="AS193" s="195" t="s">
        <v>529</v>
      </c>
      <c r="AT193" s="195" t="s">
        <v>527</v>
      </c>
      <c r="AU193" s="195" t="s">
        <v>523</v>
      </c>
      <c r="AV193" s="195" t="s">
        <v>522</v>
      </c>
      <c r="AW193" s="195" t="s">
        <v>521</v>
      </c>
      <c r="AX193" s="195" t="s">
        <v>526</v>
      </c>
      <c r="AZ193"/>
      <c r="BA193"/>
      <c r="BB193"/>
      <c r="BC193"/>
      <c r="BD193" t="str">
        <f>BE28</f>
        <v>Curaçao</v>
      </c>
      <c r="BE193" s="90" t="str">
        <f>BE16</f>
        <v>Marokko</v>
      </c>
      <c r="BF193" s="100" t="str">
        <f>BE64</f>
        <v>Portugal</v>
      </c>
      <c r="BG193" s="152"/>
    </row>
    <row r="194" spans="1:59" s="90" customFormat="1" ht="14.25" customHeight="1" x14ac:dyDescent="0.2">
      <c r="A194" s="127"/>
      <c r="B194"/>
      <c r="C194" s="13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  <c r="V194"/>
      <c r="W194"/>
      <c r="X194" s="66"/>
      <c r="Y194" s="4"/>
      <c r="Z194" s="4"/>
      <c r="AA194" s="4"/>
      <c r="AB194" s="4"/>
      <c r="AC194" s="4"/>
      <c r="AD194" s="4"/>
      <c r="AE194" s="4"/>
      <c r="AF194" s="4"/>
      <c r="AG194"/>
      <c r="AH194"/>
      <c r="AI194"/>
      <c r="AJ194"/>
      <c r="AK194"/>
      <c r="AL194"/>
      <c r="AM194"/>
      <c r="AN194"/>
      <c r="AO194" s="148">
        <f t="shared" si="144"/>
        <v>8.9263000000000012</v>
      </c>
      <c r="AP194" s="195">
        <v>81</v>
      </c>
      <c r="AQ194" s="195" t="s">
        <v>523</v>
      </c>
      <c r="AR194" s="195" t="s">
        <v>524</v>
      </c>
      <c r="AS194" s="195" t="s">
        <v>529</v>
      </c>
      <c r="AT194" s="195" t="s">
        <v>527</v>
      </c>
      <c r="AU194" s="195" t="s">
        <v>520</v>
      </c>
      <c r="AV194" s="195" t="s">
        <v>522</v>
      </c>
      <c r="AW194" s="195" t="s">
        <v>519</v>
      </c>
      <c r="AX194" s="195" t="s">
        <v>521</v>
      </c>
      <c r="AZ194"/>
      <c r="BA194"/>
      <c r="BB194"/>
      <c r="BC194"/>
      <c r="BD194" t="str">
        <f>BE29</f>
        <v>Ivoorkust</v>
      </c>
      <c r="BE194" s="90" t="str">
        <f>BE17</f>
        <v>Haïti</v>
      </c>
      <c r="BF194" s="100" t="str">
        <f>BE65</f>
        <v>Oezbekistan</v>
      </c>
      <c r="BG194" s="152"/>
    </row>
    <row r="195" spans="1:59" s="90" customFormat="1" ht="14.25" customHeight="1" x14ac:dyDescent="0.2">
      <c r="A195" s="127"/>
      <c r="B195"/>
      <c r="C195" s="134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  <c r="W195"/>
      <c r="X195" s="66"/>
      <c r="Y195" s="4"/>
      <c r="Z195" s="4"/>
      <c r="AA195" s="4"/>
      <c r="AB195" s="4"/>
      <c r="AC195" s="4"/>
      <c r="AD195" s="4"/>
      <c r="AE195" s="4"/>
      <c r="AF195" s="4"/>
      <c r="AG195"/>
      <c r="AH195"/>
      <c r="AI195"/>
      <c r="AJ195"/>
      <c r="AK195"/>
      <c r="AL195"/>
      <c r="AM195"/>
      <c r="AN195"/>
      <c r="AO195" s="148">
        <f t="shared" si="144"/>
        <v>8.9285999999999994</v>
      </c>
      <c r="AP195" s="195">
        <v>82</v>
      </c>
      <c r="AQ195" s="195" t="s">
        <v>523</v>
      </c>
      <c r="AR195" s="195" t="s">
        <v>520</v>
      </c>
      <c r="AS195" s="195" t="s">
        <v>529</v>
      </c>
      <c r="AT195" s="195" t="s">
        <v>528</v>
      </c>
      <c r="AU195" s="195" t="s">
        <v>521</v>
      </c>
      <c r="AV195" s="195" t="s">
        <v>524</v>
      </c>
      <c r="AW195" s="195" t="s">
        <v>525</v>
      </c>
      <c r="AX195" s="195" t="s">
        <v>526</v>
      </c>
      <c r="AZ195"/>
      <c r="BA195"/>
      <c r="BB195"/>
      <c r="BC195"/>
      <c r="BD195" t="str">
        <f>BE30</f>
        <v>Ecuador</v>
      </c>
      <c r="BE195" s="90" t="str">
        <f>BE18</f>
        <v>Schotland</v>
      </c>
      <c r="BF195" s="100" t="str">
        <f>BE66</f>
        <v>Colombia</v>
      </c>
      <c r="BG195" s="152"/>
    </row>
    <row r="196" spans="1:59" s="90" customFormat="1" ht="14.25" customHeight="1" x14ac:dyDescent="0.2">
      <c r="A196" s="127"/>
      <c r="B196"/>
      <c r="C196" s="134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 s="66"/>
      <c r="Y196" s="4"/>
      <c r="Z196" s="4"/>
      <c r="AA196" s="4"/>
      <c r="AB196" s="4"/>
      <c r="AC196" s="4"/>
      <c r="AD196" s="4"/>
      <c r="AE196" s="4"/>
      <c r="AF196" s="4"/>
      <c r="AG196"/>
      <c r="AH196"/>
      <c r="AI196"/>
      <c r="AJ196"/>
      <c r="AK196"/>
      <c r="AL196"/>
      <c r="AM196"/>
      <c r="AN196"/>
      <c r="AO196" s="148">
        <f t="shared" si="144"/>
        <v>8.9295000000000009</v>
      </c>
      <c r="AP196" s="195">
        <v>83</v>
      </c>
      <c r="AQ196" s="195" t="s">
        <v>523</v>
      </c>
      <c r="AR196" s="195" t="s">
        <v>520</v>
      </c>
      <c r="AS196" s="195" t="s">
        <v>529</v>
      </c>
      <c r="AT196" s="195" t="s">
        <v>528</v>
      </c>
      <c r="AU196" s="195" t="s">
        <v>521</v>
      </c>
      <c r="AV196" s="195" t="s">
        <v>522</v>
      </c>
      <c r="AW196" s="195" t="s">
        <v>525</v>
      </c>
      <c r="AX196" s="195" t="s">
        <v>526</v>
      </c>
      <c r="AZ196"/>
      <c r="BA196"/>
      <c r="BB196"/>
      <c r="BC196"/>
      <c r="BD196" t="str">
        <f>BE33</f>
        <v>Nederland</v>
      </c>
      <c r="BE196" t="str">
        <f>BE27</f>
        <v>Duitsland</v>
      </c>
      <c r="BF196" s="100" t="str">
        <f>BE69</f>
        <v>Engeland</v>
      </c>
      <c r="BG196" s="152"/>
    </row>
    <row r="197" spans="1:59" s="90" customFormat="1" ht="14.25" customHeight="1" x14ac:dyDescent="0.2">
      <c r="A197" s="127"/>
      <c r="B197"/>
      <c r="C197" s="134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  <c r="W197"/>
      <c r="X197" s="66"/>
      <c r="Y197" s="4"/>
      <c r="Z197" s="4"/>
      <c r="AA197" s="4"/>
      <c r="AB197" s="4"/>
      <c r="AC197" s="4"/>
      <c r="AD197" s="4"/>
      <c r="AE197" s="4"/>
      <c r="AF197" s="4"/>
      <c r="AG197"/>
      <c r="AH197"/>
      <c r="AI197"/>
      <c r="AJ197"/>
      <c r="AK197"/>
      <c r="AL197"/>
      <c r="AM197"/>
      <c r="AN197"/>
      <c r="AO197" s="148">
        <f t="shared" si="144"/>
        <v>8.9263000000000012</v>
      </c>
      <c r="AP197" s="195">
        <v>84</v>
      </c>
      <c r="AQ197" s="195" t="s">
        <v>521</v>
      </c>
      <c r="AR197" s="195" t="s">
        <v>524</v>
      </c>
      <c r="AS197" s="195" t="s">
        <v>529</v>
      </c>
      <c r="AT197" s="195" t="s">
        <v>528</v>
      </c>
      <c r="AU197" s="195" t="s">
        <v>520</v>
      </c>
      <c r="AV197" s="195" t="s">
        <v>522</v>
      </c>
      <c r="AW197" s="195" t="s">
        <v>525</v>
      </c>
      <c r="AX197" s="195" t="s">
        <v>526</v>
      </c>
      <c r="AZ197"/>
      <c r="BA197"/>
      <c r="BB197"/>
      <c r="BC197"/>
      <c r="BD197" t="str">
        <f>BE34</f>
        <v>Japan</v>
      </c>
      <c r="BE197" t="str">
        <f>BE28</f>
        <v>Curaçao</v>
      </c>
      <c r="BF197" s="100" t="str">
        <f>BE70</f>
        <v>Kroatië</v>
      </c>
      <c r="BG197" s="152"/>
    </row>
    <row r="198" spans="1:59" s="90" customFormat="1" ht="14.25" customHeight="1" x14ac:dyDescent="0.2">
      <c r="A198" s="127"/>
      <c r="B198"/>
      <c r="C198" s="134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  <c r="W198"/>
      <c r="X198" s="66"/>
      <c r="Y198" s="4"/>
      <c r="Z198" s="4"/>
      <c r="AA198" s="4"/>
      <c r="AB198" s="4"/>
      <c r="AC198" s="4"/>
      <c r="AD198" s="4"/>
      <c r="AE198" s="4"/>
      <c r="AF198" s="4"/>
      <c r="AG198"/>
      <c r="AH198"/>
      <c r="AI198"/>
      <c r="AJ198"/>
      <c r="AK198"/>
      <c r="AL198"/>
      <c r="AM198"/>
      <c r="AN198"/>
      <c r="AO198" s="148">
        <f t="shared" si="144"/>
        <v>8.9293000000000013</v>
      </c>
      <c r="AP198" s="195">
        <v>85</v>
      </c>
      <c r="AQ198" s="195" t="s">
        <v>523</v>
      </c>
      <c r="AR198" s="195" t="s">
        <v>524</v>
      </c>
      <c r="AS198" s="195" t="s">
        <v>529</v>
      </c>
      <c r="AT198" s="195" t="s">
        <v>528</v>
      </c>
      <c r="AU198" s="195" t="s">
        <v>520</v>
      </c>
      <c r="AV198" s="195" t="s">
        <v>522</v>
      </c>
      <c r="AW198" s="195" t="s">
        <v>525</v>
      </c>
      <c r="AX198" s="195" t="s">
        <v>526</v>
      </c>
      <c r="AZ198"/>
      <c r="BA198"/>
      <c r="BB198"/>
      <c r="BC198"/>
      <c r="BD198" t="str">
        <f>BE35</f>
        <v>Tunesië</v>
      </c>
      <c r="BE198" t="str">
        <f>BE29</f>
        <v>Ivoorkust</v>
      </c>
      <c r="BF198" s="100" t="str">
        <f>BE71</f>
        <v>Ghana</v>
      </c>
      <c r="BG198" s="152"/>
    </row>
    <row r="199" spans="1:59" s="90" customFormat="1" ht="14.25" customHeight="1" x14ac:dyDescent="0.2">
      <c r="A199" s="127"/>
      <c r="B199"/>
      <c r="C199" s="134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 s="66"/>
      <c r="Y199" s="4"/>
      <c r="Z199" s="4"/>
      <c r="AA199" s="4"/>
      <c r="AB199" s="4"/>
      <c r="AC199" s="4"/>
      <c r="AD199" s="4"/>
      <c r="AE199" s="4"/>
      <c r="AF199" s="4"/>
      <c r="AG199"/>
      <c r="AH199"/>
      <c r="AI199"/>
      <c r="AJ199"/>
      <c r="AK199"/>
      <c r="AL199"/>
      <c r="AM199"/>
      <c r="AN199"/>
      <c r="AO199" s="148">
        <f t="shared" si="144"/>
        <v>8.9296000000000006</v>
      </c>
      <c r="AP199" s="195">
        <v>86</v>
      </c>
      <c r="AQ199" s="195" t="s">
        <v>523</v>
      </c>
      <c r="AR199" s="195" t="s">
        <v>524</v>
      </c>
      <c r="AS199" s="195" t="s">
        <v>529</v>
      </c>
      <c r="AT199" s="195" t="s">
        <v>528</v>
      </c>
      <c r="AU199" s="195" t="s">
        <v>521</v>
      </c>
      <c r="AV199" s="195" t="s">
        <v>522</v>
      </c>
      <c r="AW199" s="195" t="s">
        <v>525</v>
      </c>
      <c r="AX199" s="195" t="s">
        <v>526</v>
      </c>
      <c r="AZ199"/>
      <c r="BA199"/>
      <c r="BB199"/>
      <c r="BC199"/>
      <c r="BD199" t="str">
        <f>BE36</f>
        <v>Zweden</v>
      </c>
      <c r="BE199" t="str">
        <f>BE30</f>
        <v>Ecuador</v>
      </c>
      <c r="BF199" s="100" t="str">
        <f>BE72</f>
        <v>Panama</v>
      </c>
      <c r="BG199" s="152"/>
    </row>
    <row r="200" spans="1:59" s="90" customFormat="1" ht="14.25" customHeight="1" x14ac:dyDescent="0.2">
      <c r="A200" s="127"/>
      <c r="B200"/>
      <c r="C200" s="134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/>
      <c r="R200"/>
      <c r="S200"/>
      <c r="T200"/>
      <c r="U200"/>
      <c r="V200"/>
      <c r="W200"/>
      <c r="X200" s="66"/>
      <c r="Y200" s="4"/>
      <c r="Z200" s="4"/>
      <c r="AA200" s="4"/>
      <c r="AB200" s="4"/>
      <c r="AC200" s="4"/>
      <c r="AD200" s="4"/>
      <c r="AE200" s="4"/>
      <c r="AF200" s="4"/>
      <c r="AG200"/>
      <c r="AH200"/>
      <c r="AI200"/>
      <c r="AJ200"/>
      <c r="AK200"/>
      <c r="AL200"/>
      <c r="AM200"/>
      <c r="AN200"/>
      <c r="AO200" s="148">
        <f t="shared" si="144"/>
        <v>8.9278000000000013</v>
      </c>
      <c r="AP200" s="195">
        <v>87</v>
      </c>
      <c r="AQ200" s="195" t="s">
        <v>523</v>
      </c>
      <c r="AR200" s="195" t="s">
        <v>524</v>
      </c>
      <c r="AS200" s="195" t="s">
        <v>529</v>
      </c>
      <c r="AT200" s="195" t="s">
        <v>528</v>
      </c>
      <c r="AU200" s="195" t="s">
        <v>520</v>
      </c>
      <c r="AV200" s="195" t="s">
        <v>522</v>
      </c>
      <c r="AW200" s="195" t="s">
        <v>525</v>
      </c>
      <c r="AX200" s="195" t="s">
        <v>521</v>
      </c>
      <c r="AZ200"/>
      <c r="BA200"/>
      <c r="BB200"/>
      <c r="BC200"/>
      <c r="BD200" t="str">
        <f>BE45</f>
        <v>Spanje</v>
      </c>
      <c r="BE200" s="90" t="str">
        <f>BE33</f>
        <v>Nederland</v>
      </c>
      <c r="BF200" s="100"/>
      <c r="BG200" s="152"/>
    </row>
    <row r="201" spans="1:59" s="90" customFormat="1" ht="14.25" customHeight="1" x14ac:dyDescent="0.2">
      <c r="A201" s="127"/>
      <c r="B201"/>
      <c r="C201" s="134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/>
      <c r="R201"/>
      <c r="S201"/>
      <c r="T201"/>
      <c r="U201"/>
      <c r="V201"/>
      <c r="W201"/>
      <c r="X201" s="66"/>
      <c r="Y201" s="4"/>
      <c r="Z201" s="4"/>
      <c r="AA201" s="4"/>
      <c r="AB201" s="4"/>
      <c r="AC201" s="4"/>
      <c r="AD201" s="4"/>
      <c r="AE201" s="4"/>
      <c r="AF201" s="4"/>
      <c r="AG201"/>
      <c r="AH201"/>
      <c r="AI201"/>
      <c r="AJ201"/>
      <c r="AK201"/>
      <c r="AL201"/>
      <c r="AM201"/>
      <c r="AN201"/>
      <c r="AO201" s="148">
        <f t="shared" si="144"/>
        <v>8.9291</v>
      </c>
      <c r="AP201" s="195">
        <v>88</v>
      </c>
      <c r="AQ201" s="195" t="s">
        <v>523</v>
      </c>
      <c r="AR201" s="195" t="s">
        <v>524</v>
      </c>
      <c r="AS201" s="195" t="s">
        <v>529</v>
      </c>
      <c r="AT201" s="195" t="s">
        <v>528</v>
      </c>
      <c r="AU201" s="195" t="s">
        <v>520</v>
      </c>
      <c r="AV201" s="195" t="s">
        <v>522</v>
      </c>
      <c r="AW201" s="195" t="s">
        <v>521</v>
      </c>
      <c r="AX201" s="195" t="s">
        <v>526</v>
      </c>
      <c r="AZ201"/>
      <c r="BA201"/>
      <c r="BB201"/>
      <c r="BC201"/>
      <c r="BD201" t="str">
        <f>BE46</f>
        <v>Kaapverdië</v>
      </c>
      <c r="BE201" s="90" t="str">
        <f>BE34</f>
        <v>Japan</v>
      </c>
      <c r="BF201" s="212" t="s">
        <v>691</v>
      </c>
      <c r="BG201" s="152"/>
    </row>
    <row r="202" spans="1:59" s="90" customFormat="1" ht="14.25" customHeight="1" x14ac:dyDescent="0.2">
      <c r="A202" s="127"/>
      <c r="B202"/>
      <c r="C202" s="134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/>
      <c r="R202"/>
      <c r="S202"/>
      <c r="T202"/>
      <c r="U202"/>
      <c r="V202"/>
      <c r="W202"/>
      <c r="X202" s="66"/>
      <c r="Y202" s="4"/>
      <c r="Z202" s="4"/>
      <c r="AA202" s="4"/>
      <c r="AB202" s="4"/>
      <c r="AC202" s="4"/>
      <c r="AD202" s="4"/>
      <c r="AE202" s="4"/>
      <c r="AF202" s="4"/>
      <c r="AG202"/>
      <c r="AH202"/>
      <c r="AI202"/>
      <c r="AJ202"/>
      <c r="AK202"/>
      <c r="AL202"/>
      <c r="AM202"/>
      <c r="AN202"/>
      <c r="AO202" s="148">
        <f t="shared" si="144"/>
        <v>8.9291000000000018</v>
      </c>
      <c r="AP202" s="195">
        <v>89</v>
      </c>
      <c r="AQ202" s="195" t="s">
        <v>519</v>
      </c>
      <c r="AR202" s="195" t="s">
        <v>520</v>
      </c>
      <c r="AS202" s="195" t="s">
        <v>529</v>
      </c>
      <c r="AT202" s="195" t="s">
        <v>528</v>
      </c>
      <c r="AU202" s="195" t="s">
        <v>521</v>
      </c>
      <c r="AV202" s="195" t="s">
        <v>523</v>
      </c>
      <c r="AW202" s="195" t="s">
        <v>525</v>
      </c>
      <c r="AX202" s="195" t="s">
        <v>526</v>
      </c>
      <c r="AZ202"/>
      <c r="BA202"/>
      <c r="BB202"/>
      <c r="BC202"/>
      <c r="BD202" t="str">
        <f>BE47</f>
        <v>Saoedi-Arabië</v>
      </c>
      <c r="BE202" s="90" t="str">
        <f>BE35</f>
        <v>Tunesië</v>
      </c>
      <c r="BF202" s="100" t="str">
        <f t="shared" ref="BF202:BF205" si="148">BE3</f>
        <v>Mexico</v>
      </c>
      <c r="BG202" s="152"/>
    </row>
    <row r="203" spans="1:59" s="90" customFormat="1" ht="14.25" customHeight="1" x14ac:dyDescent="0.2">
      <c r="A203" s="127"/>
      <c r="B203"/>
      <c r="C203" s="134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/>
      <c r="R203"/>
      <c r="S203"/>
      <c r="T203"/>
      <c r="U203"/>
      <c r="V203"/>
      <c r="W203"/>
      <c r="X203" s="66"/>
      <c r="Y203" s="4"/>
      <c r="Z203" s="4"/>
      <c r="AA203" s="4"/>
      <c r="AB203" s="4"/>
      <c r="AC203" s="4"/>
      <c r="AD203" s="4"/>
      <c r="AE203" s="4"/>
      <c r="AF203" s="4"/>
      <c r="AG203"/>
      <c r="AH203"/>
      <c r="AI203"/>
      <c r="AJ203"/>
      <c r="AK203"/>
      <c r="AL203"/>
      <c r="AM203"/>
      <c r="AN203"/>
      <c r="AO203" s="148">
        <f t="shared" si="144"/>
        <v>8.9259000000000022</v>
      </c>
      <c r="AP203" s="195">
        <v>90</v>
      </c>
      <c r="AQ203" s="195" t="s">
        <v>519</v>
      </c>
      <c r="AR203" s="195" t="s">
        <v>520</v>
      </c>
      <c r="AS203" s="195" t="s">
        <v>529</v>
      </c>
      <c r="AT203" s="195" t="s">
        <v>528</v>
      </c>
      <c r="AU203" s="195" t="s">
        <v>521</v>
      </c>
      <c r="AV203" s="195" t="s">
        <v>524</v>
      </c>
      <c r="AW203" s="195" t="s">
        <v>525</v>
      </c>
      <c r="AX203" s="195" t="s">
        <v>526</v>
      </c>
      <c r="AZ203"/>
      <c r="BA203"/>
      <c r="BB203"/>
      <c r="BC203"/>
      <c r="BD203" t="str">
        <f>BE48</f>
        <v>Uruguay</v>
      </c>
      <c r="BE203" s="90" t="str">
        <f>BE36</f>
        <v>Zweden</v>
      </c>
      <c r="BF203" s="100" t="str">
        <f t="shared" si="148"/>
        <v>Zuid-Afrika</v>
      </c>
      <c r="BG203" s="152"/>
    </row>
    <row r="204" spans="1:59" s="90" customFormat="1" ht="14.25" customHeight="1" x14ac:dyDescent="0.2">
      <c r="A204" s="127"/>
      <c r="B204"/>
      <c r="C204" s="13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/>
      <c r="R204"/>
      <c r="S204"/>
      <c r="T204"/>
      <c r="U204"/>
      <c r="V204"/>
      <c r="W204"/>
      <c r="X204" s="66"/>
      <c r="Y204" s="4"/>
      <c r="Z204" s="4"/>
      <c r="AA204" s="4"/>
      <c r="AB204" s="4"/>
      <c r="AC204" s="4"/>
      <c r="AD204" s="4"/>
      <c r="AE204" s="4"/>
      <c r="AF204" s="4"/>
      <c r="AG204"/>
      <c r="AH204"/>
      <c r="AI204"/>
      <c r="AJ204"/>
      <c r="AK204"/>
      <c r="AL204"/>
      <c r="AM204"/>
      <c r="AN204"/>
      <c r="AO204" s="148">
        <f t="shared" si="144"/>
        <v>8.9289000000000023</v>
      </c>
      <c r="AP204" s="195">
        <v>91</v>
      </c>
      <c r="AQ204" s="195" t="s">
        <v>519</v>
      </c>
      <c r="AR204" s="195" t="s">
        <v>520</v>
      </c>
      <c r="AS204" s="195" t="s">
        <v>529</v>
      </c>
      <c r="AT204" s="195" t="s">
        <v>528</v>
      </c>
      <c r="AU204" s="195" t="s">
        <v>523</v>
      </c>
      <c r="AV204" s="195" t="s">
        <v>524</v>
      </c>
      <c r="AW204" s="195" t="s">
        <v>525</v>
      </c>
      <c r="AX204" s="195" t="s">
        <v>526</v>
      </c>
      <c r="AZ204"/>
      <c r="BA204"/>
      <c r="BB204"/>
      <c r="BC204"/>
      <c r="BD204" t="str">
        <f>BE51</f>
        <v>Irak</v>
      </c>
      <c r="BE204" s="90" t="str">
        <f>BE45</f>
        <v>Spanje</v>
      </c>
      <c r="BF204" s="100" t="str">
        <f t="shared" si="148"/>
        <v>Zuid-Korea</v>
      </c>
      <c r="BG204" s="152"/>
    </row>
    <row r="205" spans="1:59" s="90" customFormat="1" ht="14.25" customHeight="1" x14ac:dyDescent="0.2">
      <c r="A205" s="127"/>
      <c r="B205"/>
      <c r="C205" s="134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/>
      <c r="R205"/>
      <c r="S205"/>
      <c r="T205"/>
      <c r="U205"/>
      <c r="V205"/>
      <c r="W205"/>
      <c r="X205" s="66"/>
      <c r="Y205" s="4"/>
      <c r="Z205" s="4"/>
      <c r="AA205" s="4"/>
      <c r="AB205" s="4"/>
      <c r="AC205" s="4"/>
      <c r="AD205" s="4"/>
      <c r="AE205" s="4"/>
      <c r="AF205" s="4"/>
      <c r="AG205"/>
      <c r="AH205"/>
      <c r="AI205"/>
      <c r="AJ205"/>
      <c r="AK205"/>
      <c r="AL205"/>
      <c r="AM205"/>
      <c r="AN205"/>
      <c r="AO205" s="148">
        <f t="shared" si="144"/>
        <v>8.9292000000000016</v>
      </c>
      <c r="AP205" s="195">
        <v>92</v>
      </c>
      <c r="AQ205" s="195" t="s">
        <v>519</v>
      </c>
      <c r="AR205" s="195" t="s">
        <v>524</v>
      </c>
      <c r="AS205" s="195" t="s">
        <v>529</v>
      </c>
      <c r="AT205" s="195" t="s">
        <v>528</v>
      </c>
      <c r="AU205" s="195" t="s">
        <v>521</v>
      </c>
      <c r="AV205" s="195" t="s">
        <v>523</v>
      </c>
      <c r="AW205" s="195" t="s">
        <v>525</v>
      </c>
      <c r="AX205" s="195" t="s">
        <v>526</v>
      </c>
      <c r="AZ205"/>
      <c r="BA205"/>
      <c r="BB205"/>
      <c r="BC205"/>
      <c r="BD205" t="str">
        <f>BE52</f>
        <v>Frankrijk</v>
      </c>
      <c r="BE205" s="90" t="str">
        <f>BE46</f>
        <v>Kaapverdië</v>
      </c>
      <c r="BF205" s="100" t="str">
        <f t="shared" si="148"/>
        <v>Tsjechië</v>
      </c>
      <c r="BG205" s="152"/>
    </row>
    <row r="206" spans="1:59" s="90" customFormat="1" ht="14.25" customHeight="1" x14ac:dyDescent="0.2">
      <c r="A206" s="127"/>
      <c r="B206"/>
      <c r="C206" s="134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/>
      <c r="R206"/>
      <c r="S206"/>
      <c r="T206"/>
      <c r="U206"/>
      <c r="V206"/>
      <c r="W206"/>
      <c r="X206" s="66"/>
      <c r="Y206" s="4"/>
      <c r="Z206" s="4"/>
      <c r="AA206" s="4"/>
      <c r="AB206" s="4"/>
      <c r="AC206" s="4"/>
      <c r="AD206" s="4"/>
      <c r="AE206" s="4"/>
      <c r="AF206" s="4"/>
      <c r="AG206"/>
      <c r="AH206"/>
      <c r="AI206"/>
      <c r="AJ206"/>
      <c r="AK206"/>
      <c r="AL206"/>
      <c r="AM206"/>
      <c r="AN206"/>
      <c r="AO206" s="148">
        <f t="shared" si="144"/>
        <v>8.9274000000000022</v>
      </c>
      <c r="AP206" s="195">
        <v>93</v>
      </c>
      <c r="AQ206" s="195" t="s">
        <v>519</v>
      </c>
      <c r="AR206" s="195" t="s">
        <v>520</v>
      </c>
      <c r="AS206" s="195" t="s">
        <v>529</v>
      </c>
      <c r="AT206" s="195" t="s">
        <v>528</v>
      </c>
      <c r="AU206" s="195" t="s">
        <v>523</v>
      </c>
      <c r="AV206" s="195" t="s">
        <v>524</v>
      </c>
      <c r="AW206" s="195" t="s">
        <v>525</v>
      </c>
      <c r="AX206" s="195" t="s">
        <v>521</v>
      </c>
      <c r="AZ206"/>
      <c r="BA206"/>
      <c r="BB206"/>
      <c r="BC206"/>
      <c r="BD206" t="str">
        <f>BE53</f>
        <v>Senegal</v>
      </c>
      <c r="BE206" s="90" t="str">
        <f>BE47</f>
        <v>Saoedi-Arabië</v>
      </c>
      <c r="BF206" s="100" t="str">
        <f>BE9</f>
        <v>Canada</v>
      </c>
      <c r="BG206" s="152"/>
    </row>
    <row r="207" spans="1:59" s="90" customFormat="1" ht="14.25" customHeight="1" x14ac:dyDescent="0.2">
      <c r="A207" s="127"/>
      <c r="B207"/>
      <c r="C207" s="134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/>
      <c r="R207"/>
      <c r="S207"/>
      <c r="T207"/>
      <c r="U207"/>
      <c r="V207"/>
      <c r="W207"/>
      <c r="X207" s="66"/>
      <c r="Y207" s="4"/>
      <c r="Z207" s="4"/>
      <c r="AA207" s="4"/>
      <c r="AB207" s="4"/>
      <c r="AC207" s="4"/>
      <c r="AD207" s="4"/>
      <c r="AE207" s="4"/>
      <c r="AF207" s="4"/>
      <c r="AG207"/>
      <c r="AH207"/>
      <c r="AI207"/>
      <c r="AJ207"/>
      <c r="AK207"/>
      <c r="AL207"/>
      <c r="AM207"/>
      <c r="AN207"/>
      <c r="AO207" s="148">
        <f t="shared" si="144"/>
        <v>8.928700000000001</v>
      </c>
      <c r="AP207" s="195">
        <v>94</v>
      </c>
      <c r="AQ207" s="195" t="s">
        <v>519</v>
      </c>
      <c r="AR207" s="195" t="s">
        <v>520</v>
      </c>
      <c r="AS207" s="195" t="s">
        <v>529</v>
      </c>
      <c r="AT207" s="195" t="s">
        <v>528</v>
      </c>
      <c r="AU207" s="195" t="s">
        <v>523</v>
      </c>
      <c r="AV207" s="195" t="s">
        <v>524</v>
      </c>
      <c r="AW207" s="195" t="s">
        <v>521</v>
      </c>
      <c r="AX207" s="195" t="s">
        <v>526</v>
      </c>
      <c r="AZ207"/>
      <c r="BA207"/>
      <c r="BB207"/>
      <c r="BC207"/>
      <c r="BD207" t="str">
        <f>BE54</f>
        <v>Noorwegen</v>
      </c>
      <c r="BE207" s="90" t="str">
        <f>BE48</f>
        <v>Uruguay</v>
      </c>
      <c r="BF207" s="100" t="str">
        <f>BE10</f>
        <v>Qatar</v>
      </c>
      <c r="BG207" s="152"/>
    </row>
    <row r="208" spans="1:59" s="90" customFormat="1" ht="14.25" customHeight="1" x14ac:dyDescent="0.2">
      <c r="A208" s="127"/>
      <c r="B208"/>
      <c r="C208" s="134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/>
      <c r="R208"/>
      <c r="S208"/>
      <c r="T208"/>
      <c r="U208"/>
      <c r="V208"/>
      <c r="W208"/>
      <c r="X208" s="66"/>
      <c r="Y208" s="4"/>
      <c r="Z208" s="4"/>
      <c r="AA208" s="4"/>
      <c r="AB208" s="4"/>
      <c r="AC208" s="4"/>
      <c r="AD208" s="4"/>
      <c r="AE208" s="4"/>
      <c r="AF208" s="4"/>
      <c r="AG208"/>
      <c r="AH208"/>
      <c r="AI208"/>
      <c r="AJ208"/>
      <c r="AK208"/>
      <c r="AL208"/>
      <c r="AM208"/>
      <c r="AN208"/>
      <c r="AO208" s="148">
        <f t="shared" si="144"/>
        <v>8.9268000000000001</v>
      </c>
      <c r="AP208" s="195">
        <v>95</v>
      </c>
      <c r="AQ208" s="195" t="s">
        <v>519</v>
      </c>
      <c r="AR208" s="195" t="s">
        <v>520</v>
      </c>
      <c r="AS208" s="195" t="s">
        <v>529</v>
      </c>
      <c r="AT208" s="195" t="s">
        <v>528</v>
      </c>
      <c r="AU208" s="195" t="s">
        <v>521</v>
      </c>
      <c r="AV208" s="195" t="s">
        <v>522</v>
      </c>
      <c r="AW208" s="195" t="s">
        <v>525</v>
      </c>
      <c r="AX208" s="195" t="s">
        <v>526</v>
      </c>
      <c r="AZ208"/>
      <c r="BA208"/>
      <c r="BB208"/>
      <c r="BC208"/>
      <c r="BE208" s="90" t="str">
        <f>BE51</f>
        <v>Irak</v>
      </c>
      <c r="BF208" s="100" t="str">
        <f>BE11</f>
        <v>Zwitserland</v>
      </c>
      <c r="BG208" s="152"/>
    </row>
    <row r="209" spans="1:59" s="90" customFormat="1" ht="14.25" customHeight="1" x14ac:dyDescent="0.2">
      <c r="A209" s="127"/>
      <c r="B209"/>
      <c r="C209" s="134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/>
      <c r="R209"/>
      <c r="S209"/>
      <c r="T209"/>
      <c r="U209"/>
      <c r="V209"/>
      <c r="W209"/>
      <c r="X209" s="66"/>
      <c r="Y209" s="4"/>
      <c r="Z209" s="4"/>
      <c r="AA209" s="4"/>
      <c r="AB209" s="4"/>
      <c r="AC209" s="4"/>
      <c r="AD209" s="4"/>
      <c r="AE209" s="4"/>
      <c r="AF209" s="4"/>
      <c r="AG209"/>
      <c r="AH209"/>
      <c r="AI209"/>
      <c r="AJ209"/>
      <c r="AK209"/>
      <c r="AL209"/>
      <c r="AM209"/>
      <c r="AN209"/>
      <c r="AO209" s="148">
        <f t="shared" si="144"/>
        <v>8.9298000000000002</v>
      </c>
      <c r="AP209" s="195">
        <v>96</v>
      </c>
      <c r="AQ209" s="195" t="s">
        <v>519</v>
      </c>
      <c r="AR209" s="195" t="s">
        <v>520</v>
      </c>
      <c r="AS209" s="195" t="s">
        <v>529</v>
      </c>
      <c r="AT209" s="195" t="s">
        <v>528</v>
      </c>
      <c r="AU209" s="195" t="s">
        <v>523</v>
      </c>
      <c r="AV209" s="195" t="s">
        <v>522</v>
      </c>
      <c r="AW209" s="195" t="s">
        <v>525</v>
      </c>
      <c r="AX209" s="195" t="s">
        <v>526</v>
      </c>
      <c r="AZ209"/>
      <c r="BA209"/>
      <c r="BB209"/>
      <c r="BC209"/>
      <c r="BE209" s="90" t="str">
        <f>BE52</f>
        <v>Frankrijk</v>
      </c>
      <c r="BF209" s="100" t="str">
        <f>BE12</f>
        <v>Bosnië-Herzegovina</v>
      </c>
      <c r="BG209" s="152"/>
    </row>
    <row r="210" spans="1:59" s="90" customFormat="1" ht="14.25" customHeight="1" x14ac:dyDescent="0.2">
      <c r="A210" s="127"/>
      <c r="B210"/>
      <c r="C210" s="134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/>
      <c r="R210"/>
      <c r="S210"/>
      <c r="T210"/>
      <c r="U210"/>
      <c r="V210"/>
      <c r="W210"/>
      <c r="X210" s="66"/>
      <c r="Y210" s="4"/>
      <c r="Z210" s="4"/>
      <c r="AA210" s="4"/>
      <c r="AB210" s="4"/>
      <c r="AC210" s="4"/>
      <c r="AD210" s="4"/>
      <c r="AE210" s="4"/>
      <c r="AF210" s="4"/>
      <c r="AG210"/>
      <c r="AH210"/>
      <c r="AI210"/>
      <c r="AJ210"/>
      <c r="AK210"/>
      <c r="AL210"/>
      <c r="AM210"/>
      <c r="AN210"/>
      <c r="AO210" s="148">
        <f t="shared" si="144"/>
        <v>8.9301000000000013</v>
      </c>
      <c r="AP210" s="195">
        <v>97</v>
      </c>
      <c r="AQ210" s="195" t="s">
        <v>519</v>
      </c>
      <c r="AR210" s="195" t="s">
        <v>521</v>
      </c>
      <c r="AS210" s="195" t="s">
        <v>529</v>
      </c>
      <c r="AT210" s="195" t="s">
        <v>528</v>
      </c>
      <c r="AU210" s="195" t="s">
        <v>523</v>
      </c>
      <c r="AV210" s="195" t="s">
        <v>522</v>
      </c>
      <c r="AW210" s="195" t="s">
        <v>525</v>
      </c>
      <c r="AX210" s="195" t="s">
        <v>526</v>
      </c>
      <c r="AZ210"/>
      <c r="BA210"/>
      <c r="BB210"/>
      <c r="BC210"/>
      <c r="BE210" s="90" t="str">
        <f>BE53</f>
        <v>Senegal</v>
      </c>
      <c r="BF210" s="100" t="str">
        <f>BE21</f>
        <v>Verenigde Staten</v>
      </c>
      <c r="BG210" s="152"/>
    </row>
    <row r="211" spans="1:59" s="90" customFormat="1" ht="14.25" customHeight="1" x14ac:dyDescent="0.2">
      <c r="A211" s="127"/>
      <c r="B211"/>
      <c r="C211" s="134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/>
      <c r="R211"/>
      <c r="S211"/>
      <c r="T211"/>
      <c r="U211"/>
      <c r="V211"/>
      <c r="W211"/>
      <c r="X211" s="66"/>
      <c r="Y211" s="4"/>
      <c r="Z211" s="4"/>
      <c r="AA211" s="4"/>
      <c r="AB211" s="4"/>
      <c r="AC211" s="4"/>
      <c r="AD211" s="4"/>
      <c r="AE211" s="4"/>
      <c r="AF211" s="4"/>
      <c r="AG211"/>
      <c r="AH211"/>
      <c r="AI211"/>
      <c r="AJ211"/>
      <c r="AK211"/>
      <c r="AL211"/>
      <c r="AM211"/>
      <c r="AN211"/>
      <c r="AO211" s="148">
        <f t="shared" si="144"/>
        <v>8.9283000000000019</v>
      </c>
      <c r="AP211" s="195">
        <v>98</v>
      </c>
      <c r="AQ211" s="195" t="s">
        <v>519</v>
      </c>
      <c r="AR211" s="195" t="s">
        <v>520</v>
      </c>
      <c r="AS211" s="195" t="s">
        <v>529</v>
      </c>
      <c r="AT211" s="195" t="s">
        <v>528</v>
      </c>
      <c r="AU211" s="195" t="s">
        <v>523</v>
      </c>
      <c r="AV211" s="195" t="s">
        <v>522</v>
      </c>
      <c r="AW211" s="195" t="s">
        <v>525</v>
      </c>
      <c r="AX211" s="195" t="s">
        <v>521</v>
      </c>
      <c r="AZ211"/>
      <c r="BA211"/>
      <c r="BB211"/>
      <c r="BC211"/>
      <c r="BE211" s="90" t="str">
        <f>BE54</f>
        <v>Noorwegen</v>
      </c>
      <c r="BF211" s="100" t="str">
        <f>BE22</f>
        <v>Paraguay</v>
      </c>
      <c r="BG211" s="152"/>
    </row>
    <row r="212" spans="1:59" s="90" customFormat="1" ht="14.25" customHeight="1" x14ac:dyDescent="0.2">
      <c r="A212" s="127"/>
      <c r="B212"/>
      <c r="C212" s="134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/>
      <c r="R212"/>
      <c r="S212"/>
      <c r="T212"/>
      <c r="U212"/>
      <c r="V212"/>
      <c r="W212"/>
      <c r="X212" s="66"/>
      <c r="Y212" s="4"/>
      <c r="Z212" s="4"/>
      <c r="AA212" s="4"/>
      <c r="AB212" s="4"/>
      <c r="AC212" s="4"/>
      <c r="AD212" s="4"/>
      <c r="AE212" s="4"/>
      <c r="AF212" s="4"/>
      <c r="AG212"/>
      <c r="AH212"/>
      <c r="AI212"/>
      <c r="AJ212"/>
      <c r="AK212"/>
      <c r="AL212"/>
      <c r="AM212"/>
      <c r="AN212"/>
      <c r="AO212" s="148">
        <f t="shared" si="144"/>
        <v>8.9296000000000006</v>
      </c>
      <c r="AP212" s="195">
        <v>99</v>
      </c>
      <c r="AQ212" s="195" t="s">
        <v>519</v>
      </c>
      <c r="AR212" s="195" t="s">
        <v>520</v>
      </c>
      <c r="AS212" s="195" t="s">
        <v>529</v>
      </c>
      <c r="AT212" s="195" t="s">
        <v>528</v>
      </c>
      <c r="AU212" s="195" t="s">
        <v>523</v>
      </c>
      <c r="AV212" s="195" t="s">
        <v>522</v>
      </c>
      <c r="AW212" s="195" t="s">
        <v>521</v>
      </c>
      <c r="AX212" s="195" t="s">
        <v>526</v>
      </c>
      <c r="AZ212"/>
      <c r="BA212"/>
      <c r="BB212"/>
      <c r="BC212"/>
      <c r="BD212"/>
      <c r="BE212"/>
      <c r="BF212" s="100" t="str">
        <f>BE23</f>
        <v>Australië</v>
      </c>
      <c r="BG212" s="152"/>
    </row>
    <row r="213" spans="1:59" s="90" customFormat="1" ht="14.25" customHeight="1" x14ac:dyDescent="0.2">
      <c r="A213" s="127"/>
      <c r="B213"/>
      <c r="C213" s="134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/>
      <c r="R213"/>
      <c r="S213"/>
      <c r="T213"/>
      <c r="U213"/>
      <c r="V213"/>
      <c r="W213"/>
      <c r="X213" s="66"/>
      <c r="Y213" s="4"/>
      <c r="Z213" s="4"/>
      <c r="AA213" s="4"/>
      <c r="AB213" s="4"/>
      <c r="AC213" s="4"/>
      <c r="AD213" s="4"/>
      <c r="AE213" s="4"/>
      <c r="AF213" s="4"/>
      <c r="AG213"/>
      <c r="AH213"/>
      <c r="AI213"/>
      <c r="AJ213"/>
      <c r="AK213"/>
      <c r="AL213"/>
      <c r="AM213"/>
      <c r="AN213"/>
      <c r="AO213" s="148">
        <f t="shared" si="144"/>
        <v>8.9266000000000005</v>
      </c>
      <c r="AP213" s="195">
        <v>100</v>
      </c>
      <c r="AQ213" s="195" t="s">
        <v>519</v>
      </c>
      <c r="AR213" s="195" t="s">
        <v>524</v>
      </c>
      <c r="AS213" s="195" t="s">
        <v>529</v>
      </c>
      <c r="AT213" s="195" t="s">
        <v>528</v>
      </c>
      <c r="AU213" s="195" t="s">
        <v>520</v>
      </c>
      <c r="AV213" s="195" t="s">
        <v>522</v>
      </c>
      <c r="AW213" s="195" t="s">
        <v>525</v>
      </c>
      <c r="AX213" s="195" t="s">
        <v>526</v>
      </c>
      <c r="AZ213"/>
      <c r="BA213"/>
      <c r="BB213"/>
      <c r="BC213"/>
      <c r="BD213" s="91" t="s">
        <v>697</v>
      </c>
      <c r="BE213" s="91" t="s">
        <v>706</v>
      </c>
      <c r="BF213" s="100" t="str">
        <f>BE24</f>
        <v>Turkije</v>
      </c>
      <c r="BG213" s="152"/>
    </row>
    <row r="214" spans="1:59" s="90" customFormat="1" ht="14.25" customHeight="1" x14ac:dyDescent="0.2">
      <c r="A214" s="127"/>
      <c r="B214"/>
      <c r="C214" s="13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/>
      <c r="R214"/>
      <c r="S214"/>
      <c r="T214"/>
      <c r="U214"/>
      <c r="V214"/>
      <c r="W214"/>
      <c r="X214" s="66"/>
      <c r="Y214" s="4"/>
      <c r="Z214" s="4"/>
      <c r="AA214" s="4"/>
      <c r="AB214" s="4"/>
      <c r="AC214" s="4"/>
      <c r="AD214" s="4"/>
      <c r="AE214" s="4"/>
      <c r="AF214" s="4"/>
      <c r="AG214"/>
      <c r="AH214"/>
      <c r="AI214"/>
      <c r="AJ214"/>
      <c r="AK214"/>
      <c r="AL214"/>
      <c r="AM214"/>
      <c r="AN214"/>
      <c r="AO214" s="148">
        <f t="shared" si="144"/>
        <v>8.9268999999999998</v>
      </c>
      <c r="AP214" s="195">
        <v>101</v>
      </c>
      <c r="AQ214" s="195" t="s">
        <v>519</v>
      </c>
      <c r="AR214" s="195" t="s">
        <v>524</v>
      </c>
      <c r="AS214" s="195" t="s">
        <v>529</v>
      </c>
      <c r="AT214" s="195" t="s">
        <v>528</v>
      </c>
      <c r="AU214" s="195" t="s">
        <v>521</v>
      </c>
      <c r="AV214" s="195" t="s">
        <v>522</v>
      </c>
      <c r="AW214" s="195" t="s">
        <v>525</v>
      </c>
      <c r="AX214" s="195" t="s">
        <v>526</v>
      </c>
      <c r="AZ214"/>
      <c r="BA214"/>
      <c r="BB214"/>
      <c r="BC214"/>
      <c r="BD214" t="str">
        <f>BE27</f>
        <v>Duitsland</v>
      </c>
      <c r="BE214" s="90" t="str">
        <f>BE27</f>
        <v>Duitsland</v>
      </c>
      <c r="BF214" s="152" t="str">
        <f>BE27</f>
        <v>Duitsland</v>
      </c>
      <c r="BG214" s="152"/>
    </row>
    <row r="215" spans="1:59" s="90" customFormat="1" ht="14.25" customHeight="1" x14ac:dyDescent="0.2">
      <c r="A215" s="127"/>
      <c r="B215"/>
      <c r="C215" s="134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/>
      <c r="R215"/>
      <c r="S215"/>
      <c r="T215"/>
      <c r="U215"/>
      <c r="V215"/>
      <c r="W215"/>
      <c r="X215" s="66"/>
      <c r="Y215" s="4"/>
      <c r="Z215" s="4"/>
      <c r="AA215" s="4"/>
      <c r="AB215" s="4"/>
      <c r="AC215" s="4"/>
      <c r="AD215" s="4"/>
      <c r="AE215" s="4"/>
      <c r="AF215" s="4"/>
      <c r="AG215"/>
      <c r="AH215"/>
      <c r="AI215"/>
      <c r="AJ215"/>
      <c r="AK215"/>
      <c r="AL215"/>
      <c r="AM215"/>
      <c r="AN215"/>
      <c r="AO215" s="148">
        <f t="shared" si="144"/>
        <v>8.9251000000000005</v>
      </c>
      <c r="AP215" s="195">
        <v>102</v>
      </c>
      <c r="AQ215" s="195" t="s">
        <v>519</v>
      </c>
      <c r="AR215" s="195" t="s">
        <v>524</v>
      </c>
      <c r="AS215" s="195" t="s">
        <v>529</v>
      </c>
      <c r="AT215" s="195" t="s">
        <v>528</v>
      </c>
      <c r="AU215" s="195" t="s">
        <v>520</v>
      </c>
      <c r="AV215" s="195" t="s">
        <v>522</v>
      </c>
      <c r="AW215" s="195" t="s">
        <v>525</v>
      </c>
      <c r="AX215" s="195" t="s">
        <v>521</v>
      </c>
      <c r="AZ215"/>
      <c r="BA215"/>
      <c r="BB215"/>
      <c r="BC215"/>
      <c r="BD215" t="str">
        <f>BE28</f>
        <v>Curaçao</v>
      </c>
      <c r="BE215" s="90" t="str">
        <f>BE28</f>
        <v>Curaçao</v>
      </c>
      <c r="BF215" s="100" t="str">
        <f>BE28</f>
        <v>Curaçao</v>
      </c>
      <c r="BG215" s="152"/>
    </row>
    <row r="216" spans="1:59" s="90" customFormat="1" ht="14.25" customHeight="1" x14ac:dyDescent="0.2">
      <c r="A216" s="127"/>
      <c r="B216"/>
      <c r="C216" s="134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/>
      <c r="R216"/>
      <c r="S216"/>
      <c r="T216"/>
      <c r="U216"/>
      <c r="V216"/>
      <c r="W216"/>
      <c r="X216" s="66"/>
      <c r="Y216" s="4"/>
      <c r="Z216" s="4"/>
      <c r="AA216" s="4"/>
      <c r="AB216" s="4"/>
      <c r="AC216" s="4"/>
      <c r="AD216" s="4"/>
      <c r="AE216" s="4"/>
      <c r="AF216" s="4"/>
      <c r="AG216"/>
      <c r="AH216"/>
      <c r="AI216"/>
      <c r="AJ216"/>
      <c r="AK216"/>
      <c r="AL216"/>
      <c r="AM216"/>
      <c r="AN216"/>
      <c r="AO216" s="148">
        <f t="shared" si="144"/>
        <v>8.926400000000001</v>
      </c>
      <c r="AP216" s="195">
        <v>103</v>
      </c>
      <c r="AQ216" s="195" t="s">
        <v>519</v>
      </c>
      <c r="AR216" s="195" t="s">
        <v>524</v>
      </c>
      <c r="AS216" s="195" t="s">
        <v>529</v>
      </c>
      <c r="AT216" s="195" t="s">
        <v>528</v>
      </c>
      <c r="AU216" s="195" t="s">
        <v>520</v>
      </c>
      <c r="AV216" s="195" t="s">
        <v>522</v>
      </c>
      <c r="AW216" s="195" t="s">
        <v>521</v>
      </c>
      <c r="AX216" s="195" t="s">
        <v>526</v>
      </c>
      <c r="AZ216"/>
      <c r="BA216"/>
      <c r="BB216"/>
      <c r="BC216"/>
      <c r="BD216" t="str">
        <f>BE29</f>
        <v>Ivoorkust</v>
      </c>
      <c r="BE216" s="90" t="str">
        <f>BE29</f>
        <v>Ivoorkust</v>
      </c>
      <c r="BF216" s="100" t="str">
        <f>BE29</f>
        <v>Ivoorkust</v>
      </c>
      <c r="BG216" s="152"/>
    </row>
    <row r="217" spans="1:59" s="90" customFormat="1" ht="14.25" customHeight="1" x14ac:dyDescent="0.2">
      <c r="A217" s="127"/>
      <c r="B217"/>
      <c r="C217" s="134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/>
      <c r="R217"/>
      <c r="S217"/>
      <c r="T217"/>
      <c r="U217"/>
      <c r="V217"/>
      <c r="W217"/>
      <c r="X217" s="66"/>
      <c r="Y217" s="4"/>
      <c r="Z217" s="4"/>
      <c r="AA217" s="4"/>
      <c r="AB217" s="4"/>
      <c r="AC217" s="4"/>
      <c r="AD217" s="4"/>
      <c r="AE217" s="4"/>
      <c r="AF217" s="4"/>
      <c r="AG217"/>
      <c r="AH217"/>
      <c r="AI217"/>
      <c r="AJ217"/>
      <c r="AK217"/>
      <c r="AL217"/>
      <c r="AM217"/>
      <c r="AN217"/>
      <c r="AO217" s="148">
        <f t="shared" si="144"/>
        <v>8.9298999999999999</v>
      </c>
      <c r="AP217" s="195">
        <v>104</v>
      </c>
      <c r="AQ217" s="195" t="s">
        <v>519</v>
      </c>
      <c r="AR217" s="195" t="s">
        <v>524</v>
      </c>
      <c r="AS217" s="195" t="s">
        <v>529</v>
      </c>
      <c r="AT217" s="195" t="s">
        <v>528</v>
      </c>
      <c r="AU217" s="195" t="s">
        <v>523</v>
      </c>
      <c r="AV217" s="195" t="s">
        <v>522</v>
      </c>
      <c r="AW217" s="195" t="s">
        <v>525</v>
      </c>
      <c r="AX217" s="195" t="s">
        <v>526</v>
      </c>
      <c r="AZ217"/>
      <c r="BA217"/>
      <c r="BB217"/>
      <c r="BC217"/>
      <c r="BD217" t="str">
        <f>BE30</f>
        <v>Ecuador</v>
      </c>
      <c r="BE217" s="90" t="str">
        <f>BE30</f>
        <v>Ecuador</v>
      </c>
      <c r="BF217" s="100" t="str">
        <f>BE30</f>
        <v>Ecuador</v>
      </c>
      <c r="BG217" s="152"/>
    </row>
    <row r="218" spans="1:59" s="90" customFormat="1" ht="14.25" customHeight="1" x14ac:dyDescent="0.2">
      <c r="A218" s="127"/>
      <c r="B218"/>
      <c r="C218" s="134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/>
      <c r="R218"/>
      <c r="S218"/>
      <c r="T218"/>
      <c r="U218"/>
      <c r="V218"/>
      <c r="W218"/>
      <c r="X218" s="66"/>
      <c r="Y218" s="4"/>
      <c r="Z218" s="4"/>
      <c r="AA218" s="4"/>
      <c r="AB218" s="4"/>
      <c r="AC218" s="4"/>
      <c r="AD218" s="4"/>
      <c r="AE218" s="4"/>
      <c r="AF218" s="4"/>
      <c r="AG218"/>
      <c r="AH218"/>
      <c r="AI218"/>
      <c r="AJ218"/>
      <c r="AK218"/>
      <c r="AL218"/>
      <c r="AM218"/>
      <c r="AN218"/>
      <c r="AO218" s="148">
        <f t="shared" si="144"/>
        <v>8.9281000000000006</v>
      </c>
      <c r="AP218" s="195">
        <v>105</v>
      </c>
      <c r="AQ218" s="195" t="s">
        <v>523</v>
      </c>
      <c r="AR218" s="195" t="s">
        <v>524</v>
      </c>
      <c r="AS218" s="195" t="s">
        <v>529</v>
      </c>
      <c r="AT218" s="195" t="s">
        <v>528</v>
      </c>
      <c r="AU218" s="195" t="s">
        <v>520</v>
      </c>
      <c r="AV218" s="195" t="s">
        <v>522</v>
      </c>
      <c r="AW218" s="195" t="s">
        <v>525</v>
      </c>
      <c r="AX218" s="195" t="s">
        <v>519</v>
      </c>
      <c r="AZ218"/>
      <c r="BA218"/>
      <c r="BB218"/>
      <c r="BC218"/>
      <c r="BD218" t="str">
        <f>BE45</f>
        <v>Spanje</v>
      </c>
      <c r="BE218" s="90" t="str">
        <f>BE45</f>
        <v>Spanje</v>
      </c>
      <c r="BF218" s="152" t="str">
        <f>BE33</f>
        <v>Nederland</v>
      </c>
      <c r="BG218" s="152"/>
    </row>
    <row r="219" spans="1:59" s="90" customFormat="1" ht="14.25" customHeight="1" x14ac:dyDescent="0.2">
      <c r="A219" s="127"/>
      <c r="B219"/>
      <c r="C219" s="134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/>
      <c r="R219"/>
      <c r="S219"/>
      <c r="T219"/>
      <c r="U219"/>
      <c r="V219"/>
      <c r="W219"/>
      <c r="X219" s="66"/>
      <c r="Y219" s="4"/>
      <c r="Z219" s="4"/>
      <c r="AA219" s="4"/>
      <c r="AB219" s="4"/>
      <c r="AC219" s="4"/>
      <c r="AD219" s="4"/>
      <c r="AE219" s="4"/>
      <c r="AF219" s="4"/>
      <c r="AG219"/>
      <c r="AH219"/>
      <c r="AI219"/>
      <c r="AJ219"/>
      <c r="AK219"/>
      <c r="AL219"/>
      <c r="AM219"/>
      <c r="AN219"/>
      <c r="AO219" s="148">
        <f t="shared" si="144"/>
        <v>8.9294000000000011</v>
      </c>
      <c r="AP219" s="195">
        <v>106</v>
      </c>
      <c r="AQ219" s="195" t="s">
        <v>523</v>
      </c>
      <c r="AR219" s="195" t="s">
        <v>524</v>
      </c>
      <c r="AS219" s="195" t="s">
        <v>529</v>
      </c>
      <c r="AT219" s="195" t="s">
        <v>528</v>
      </c>
      <c r="AU219" s="195" t="s">
        <v>520</v>
      </c>
      <c r="AV219" s="195" t="s">
        <v>522</v>
      </c>
      <c r="AW219" s="195" t="s">
        <v>519</v>
      </c>
      <c r="AX219" s="195" t="s">
        <v>526</v>
      </c>
      <c r="AZ219"/>
      <c r="BA219"/>
      <c r="BB219"/>
      <c r="BC219"/>
      <c r="BD219" t="str">
        <f>BE46</f>
        <v>Kaapverdië</v>
      </c>
      <c r="BE219" s="90" t="str">
        <f>BE46</f>
        <v>Kaapverdië</v>
      </c>
      <c r="BF219" s="100" t="str">
        <f>BE34</f>
        <v>Japan</v>
      </c>
      <c r="BG219" s="152"/>
    </row>
    <row r="220" spans="1:59" s="90" customFormat="1" ht="14.25" customHeight="1" x14ac:dyDescent="0.2">
      <c r="A220" s="127"/>
      <c r="B220"/>
      <c r="C220" s="134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/>
      <c r="R220"/>
      <c r="S220"/>
      <c r="T220"/>
      <c r="U220"/>
      <c r="V220"/>
      <c r="W220"/>
      <c r="X220" s="66"/>
      <c r="Y220" s="4"/>
      <c r="Z220" s="4"/>
      <c r="AA220" s="4"/>
      <c r="AB220" s="4"/>
      <c r="AC220" s="4"/>
      <c r="AD220" s="4"/>
      <c r="AE220" s="4"/>
      <c r="AF220" s="4"/>
      <c r="AG220"/>
      <c r="AH220"/>
      <c r="AI220"/>
      <c r="AJ220"/>
      <c r="AK220"/>
      <c r="AL220"/>
      <c r="AM220"/>
      <c r="AN220"/>
      <c r="AO220" s="148">
        <f t="shared" si="144"/>
        <v>8.9284000000000017</v>
      </c>
      <c r="AP220" s="195">
        <v>107</v>
      </c>
      <c r="AQ220" s="195" t="s">
        <v>519</v>
      </c>
      <c r="AR220" s="195" t="s">
        <v>524</v>
      </c>
      <c r="AS220" s="195" t="s">
        <v>529</v>
      </c>
      <c r="AT220" s="195" t="s">
        <v>528</v>
      </c>
      <c r="AU220" s="195" t="s">
        <v>523</v>
      </c>
      <c r="AV220" s="195" t="s">
        <v>522</v>
      </c>
      <c r="AW220" s="195" t="s">
        <v>525</v>
      </c>
      <c r="AX220" s="195" t="s">
        <v>521</v>
      </c>
      <c r="AZ220"/>
      <c r="BA220"/>
      <c r="BB220"/>
      <c r="BC220"/>
      <c r="BD220" t="str">
        <f>BE47</f>
        <v>Saoedi-Arabië</v>
      </c>
      <c r="BE220" s="90" t="str">
        <f>BE47</f>
        <v>Saoedi-Arabië</v>
      </c>
      <c r="BF220" s="100" t="str">
        <f t="shared" ref="BF220:BF221" si="149">BE35</f>
        <v>Tunesië</v>
      </c>
      <c r="BG220" s="152"/>
    </row>
    <row r="221" spans="1:59" s="90" customFormat="1" ht="14.25" customHeight="1" x14ac:dyDescent="0.2">
      <c r="A221" s="127"/>
      <c r="B221"/>
      <c r="C221" s="134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/>
      <c r="R221"/>
      <c r="S221"/>
      <c r="T221"/>
      <c r="U221"/>
      <c r="V221"/>
      <c r="W221"/>
      <c r="X221" s="66"/>
      <c r="Y221" s="4"/>
      <c r="Z221" s="4"/>
      <c r="AA221" s="4"/>
      <c r="AB221" s="4"/>
      <c r="AC221" s="4"/>
      <c r="AD221" s="4"/>
      <c r="AE221" s="4"/>
      <c r="AF221" s="4"/>
      <c r="AG221"/>
      <c r="AH221"/>
      <c r="AI221"/>
      <c r="AJ221"/>
      <c r="AK221"/>
      <c r="AL221"/>
      <c r="AM221"/>
      <c r="AN221"/>
      <c r="AO221" s="148">
        <f t="shared" si="144"/>
        <v>8.9297000000000004</v>
      </c>
      <c r="AP221" s="195">
        <v>108</v>
      </c>
      <c r="AQ221" s="195" t="s">
        <v>519</v>
      </c>
      <c r="AR221" s="195" t="s">
        <v>524</v>
      </c>
      <c r="AS221" s="195" t="s">
        <v>529</v>
      </c>
      <c r="AT221" s="195" t="s">
        <v>528</v>
      </c>
      <c r="AU221" s="195" t="s">
        <v>523</v>
      </c>
      <c r="AV221" s="195" t="s">
        <v>522</v>
      </c>
      <c r="AW221" s="195" t="s">
        <v>521</v>
      </c>
      <c r="AX221" s="195" t="s">
        <v>526</v>
      </c>
      <c r="AZ221"/>
      <c r="BA221"/>
      <c r="BB221"/>
      <c r="BC221"/>
      <c r="BD221" t="str">
        <f>BE48</f>
        <v>Uruguay</v>
      </c>
      <c r="BE221" s="90" t="str">
        <f>BE48</f>
        <v>Uruguay</v>
      </c>
      <c r="BF221" s="100" t="str">
        <f t="shared" si="149"/>
        <v>Zweden</v>
      </c>
      <c r="BG221" s="152"/>
    </row>
    <row r="222" spans="1:59" s="90" customFormat="1" ht="14.25" customHeight="1" x14ac:dyDescent="0.2">
      <c r="A222" s="127"/>
      <c r="B222"/>
      <c r="C222" s="134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/>
      <c r="R222"/>
      <c r="S222"/>
      <c r="T222"/>
      <c r="U222"/>
      <c r="V222"/>
      <c r="W222"/>
      <c r="X222" s="66"/>
      <c r="Y222" s="4"/>
      <c r="Z222" s="4"/>
      <c r="AA222" s="4"/>
      <c r="AB222" s="4"/>
      <c r="AC222" s="4"/>
      <c r="AD222" s="4"/>
      <c r="AE222" s="4"/>
      <c r="AF222" s="4"/>
      <c r="AG222"/>
      <c r="AH222"/>
      <c r="AI222"/>
      <c r="AJ222"/>
      <c r="AK222"/>
      <c r="AL222"/>
      <c r="AM222"/>
      <c r="AN222"/>
      <c r="AO222" s="148">
        <f t="shared" si="144"/>
        <v>8.9279000000000011</v>
      </c>
      <c r="AP222" s="195">
        <v>109</v>
      </c>
      <c r="AQ222" s="195" t="s">
        <v>523</v>
      </c>
      <c r="AR222" s="195" t="s">
        <v>524</v>
      </c>
      <c r="AS222" s="195" t="s">
        <v>529</v>
      </c>
      <c r="AT222" s="195" t="s">
        <v>528</v>
      </c>
      <c r="AU222" s="195" t="s">
        <v>520</v>
      </c>
      <c r="AV222" s="195" t="s">
        <v>522</v>
      </c>
      <c r="AW222" s="195" t="s">
        <v>519</v>
      </c>
      <c r="AX222" s="195" t="s">
        <v>521</v>
      </c>
      <c r="AZ222"/>
      <c r="BA222"/>
      <c r="BB222"/>
      <c r="BC222"/>
      <c r="BD222" t="str">
        <f>BE51</f>
        <v>Irak</v>
      </c>
      <c r="BE222" s="90" t="str">
        <f>BE51</f>
        <v>Irak</v>
      </c>
      <c r="BF222" s="152" t="str">
        <f>BE39</f>
        <v>België</v>
      </c>
      <c r="BG222" s="152"/>
    </row>
    <row r="223" spans="1:59" s="90" customFormat="1" ht="14.25" customHeight="1" x14ac:dyDescent="0.2">
      <c r="A223" s="127"/>
      <c r="B223"/>
      <c r="C223" s="134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/>
      <c r="R223"/>
      <c r="S223"/>
      <c r="T223"/>
      <c r="U223"/>
      <c r="V223"/>
      <c r="W223"/>
      <c r="X223" s="66"/>
      <c r="Y223" s="4"/>
      <c r="Z223" s="4"/>
      <c r="AA223" s="4"/>
      <c r="AB223" s="4"/>
      <c r="AC223" s="4"/>
      <c r="AD223" s="4"/>
      <c r="AE223" s="4"/>
      <c r="AF223" s="4"/>
      <c r="AG223"/>
      <c r="AH223"/>
      <c r="AI223"/>
      <c r="AJ223"/>
      <c r="AK223"/>
      <c r="AL223"/>
      <c r="AM223"/>
      <c r="AN223"/>
      <c r="AO223" s="148">
        <f t="shared" si="144"/>
        <v>8.9283999999999999</v>
      </c>
      <c r="AP223" s="195">
        <v>110</v>
      </c>
      <c r="AQ223" s="195" t="s">
        <v>523</v>
      </c>
      <c r="AR223" s="195" t="s">
        <v>520</v>
      </c>
      <c r="AS223" s="195" t="s">
        <v>529</v>
      </c>
      <c r="AT223" s="195" t="s">
        <v>528</v>
      </c>
      <c r="AU223" s="195" t="s">
        <v>521</v>
      </c>
      <c r="AV223" s="195" t="s">
        <v>527</v>
      </c>
      <c r="AW223" s="195" t="s">
        <v>525</v>
      </c>
      <c r="AX223" s="195" t="s">
        <v>526</v>
      </c>
      <c r="AZ223"/>
      <c r="BA223"/>
      <c r="BB223"/>
      <c r="BC223"/>
      <c r="BD223" t="str">
        <f>BE52</f>
        <v>Frankrijk</v>
      </c>
      <c r="BE223" s="90" t="str">
        <f>BE52</f>
        <v>Frankrijk</v>
      </c>
      <c r="BF223" s="100" t="str">
        <f>BE40</f>
        <v>Egypte</v>
      </c>
      <c r="BG223" s="152"/>
    </row>
    <row r="224" spans="1:59" s="90" customFormat="1" ht="14.25" customHeight="1" x14ac:dyDescent="0.2">
      <c r="A224" s="127"/>
      <c r="B224"/>
      <c r="C224" s="13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/>
      <c r="R224"/>
      <c r="S224"/>
      <c r="T224"/>
      <c r="U224"/>
      <c r="V224"/>
      <c r="W224"/>
      <c r="X224" s="66"/>
      <c r="Y224" s="4"/>
      <c r="Z224" s="4"/>
      <c r="AA224" s="4"/>
      <c r="AB224" s="4"/>
      <c r="AC224" s="4"/>
      <c r="AD224" s="4"/>
      <c r="AE224" s="4"/>
      <c r="AF224" s="4"/>
      <c r="AG224"/>
      <c r="AH224"/>
      <c r="AI224"/>
      <c r="AJ224"/>
      <c r="AK224"/>
      <c r="AL224"/>
      <c r="AM224"/>
      <c r="AN224"/>
      <c r="AO224" s="148">
        <f t="shared" si="144"/>
        <v>8.9252000000000002</v>
      </c>
      <c r="AP224" s="195">
        <v>111</v>
      </c>
      <c r="AQ224" s="195" t="s">
        <v>521</v>
      </c>
      <c r="AR224" s="195" t="s">
        <v>524</v>
      </c>
      <c r="AS224" s="195" t="s">
        <v>529</v>
      </c>
      <c r="AT224" s="195" t="s">
        <v>528</v>
      </c>
      <c r="AU224" s="195" t="s">
        <v>520</v>
      </c>
      <c r="AV224" s="195" t="s">
        <v>527</v>
      </c>
      <c r="AW224" s="195" t="s">
        <v>525</v>
      </c>
      <c r="AX224" s="195" t="s">
        <v>526</v>
      </c>
      <c r="AZ224"/>
      <c r="BA224"/>
      <c r="BB224"/>
      <c r="BC224"/>
      <c r="BD224" t="str">
        <f>BE53</f>
        <v>Senegal</v>
      </c>
      <c r="BE224" s="90" t="str">
        <f>BE53</f>
        <v>Senegal</v>
      </c>
      <c r="BF224" s="100" t="str">
        <f>BE41</f>
        <v>Iran</v>
      </c>
      <c r="BG224" s="152"/>
    </row>
    <row r="225" spans="1:59" s="90" customFormat="1" ht="14.25" customHeight="1" x14ac:dyDescent="0.2">
      <c r="A225" s="127"/>
      <c r="B225"/>
      <c r="C225" s="134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/>
      <c r="R225"/>
      <c r="S225"/>
      <c r="T225"/>
      <c r="U225"/>
      <c r="V225"/>
      <c r="W225"/>
      <c r="X225" s="66"/>
      <c r="Y225" s="4"/>
      <c r="Z225" s="4"/>
      <c r="AA225" s="4"/>
      <c r="AB225" s="4"/>
      <c r="AC225" s="4"/>
      <c r="AD225" s="4"/>
      <c r="AE225" s="4"/>
      <c r="AF225" s="4"/>
      <c r="AG225"/>
      <c r="AH225"/>
      <c r="AI225"/>
      <c r="AJ225"/>
      <c r="AK225"/>
      <c r="AL225"/>
      <c r="AM225"/>
      <c r="AN225"/>
      <c r="AO225" s="148">
        <f t="shared" si="144"/>
        <v>8.9282000000000004</v>
      </c>
      <c r="AP225" s="195">
        <v>112</v>
      </c>
      <c r="AQ225" s="195" t="s">
        <v>523</v>
      </c>
      <c r="AR225" s="195" t="s">
        <v>524</v>
      </c>
      <c r="AS225" s="195" t="s">
        <v>529</v>
      </c>
      <c r="AT225" s="195" t="s">
        <v>528</v>
      </c>
      <c r="AU225" s="195" t="s">
        <v>520</v>
      </c>
      <c r="AV225" s="195" t="s">
        <v>527</v>
      </c>
      <c r="AW225" s="195" t="s">
        <v>525</v>
      </c>
      <c r="AX225" s="195" t="s">
        <v>526</v>
      </c>
      <c r="AZ225"/>
      <c r="BA225"/>
      <c r="BB225"/>
      <c r="BC225"/>
      <c r="BD225" t="str">
        <f>BE54</f>
        <v>Noorwegen</v>
      </c>
      <c r="BE225" s="90" t="str">
        <f>BE54</f>
        <v>Noorwegen</v>
      </c>
      <c r="BF225" s="100" t="str">
        <f>BE42</f>
        <v>Nieuw-Zeeland</v>
      </c>
      <c r="BG225" s="152"/>
    </row>
    <row r="226" spans="1:59" s="90" customFormat="1" ht="14.25" customHeight="1" x14ac:dyDescent="0.2">
      <c r="A226" s="127"/>
      <c r="B226"/>
      <c r="C226" s="134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/>
      <c r="R226"/>
      <c r="S226"/>
      <c r="T226"/>
      <c r="U226"/>
      <c r="V226"/>
      <c r="W226"/>
      <c r="X226" s="66"/>
      <c r="Y226" s="4"/>
      <c r="Z226" s="4"/>
      <c r="AA226" s="4"/>
      <c r="AB226" s="4"/>
      <c r="AC226" s="4"/>
      <c r="AD226" s="4"/>
      <c r="AE226" s="4"/>
      <c r="AF226" s="4"/>
      <c r="AG226"/>
      <c r="AH226"/>
      <c r="AI226"/>
      <c r="AJ226"/>
      <c r="AK226"/>
      <c r="AL226"/>
      <c r="AM226"/>
      <c r="AN226"/>
      <c r="AO226" s="148">
        <f t="shared" si="144"/>
        <v>8.9284999999999997</v>
      </c>
      <c r="AP226" s="195">
        <v>113</v>
      </c>
      <c r="AQ226" s="195" t="s">
        <v>523</v>
      </c>
      <c r="AR226" s="195" t="s">
        <v>524</v>
      </c>
      <c r="AS226" s="195" t="s">
        <v>529</v>
      </c>
      <c r="AT226" s="195" t="s">
        <v>528</v>
      </c>
      <c r="AU226" s="195" t="s">
        <v>521</v>
      </c>
      <c r="AV226" s="195" t="s">
        <v>527</v>
      </c>
      <c r="AW226" s="195" t="s">
        <v>525</v>
      </c>
      <c r="AX226" s="195" t="s">
        <v>526</v>
      </c>
      <c r="AZ226"/>
      <c r="BA226"/>
      <c r="BB226"/>
      <c r="BC226"/>
      <c r="BD226" t="str">
        <f>BE57</f>
        <v>Argentinië</v>
      </c>
      <c r="BE226" t="str">
        <f>BE57</f>
        <v>Argentinië</v>
      </c>
      <c r="BF226" s="152" t="str">
        <f>BE45</f>
        <v>Spanje</v>
      </c>
      <c r="BG226" s="152"/>
    </row>
    <row r="227" spans="1:59" s="90" customFormat="1" ht="14.25" customHeight="1" x14ac:dyDescent="0.2">
      <c r="A227" s="127"/>
      <c r="B227"/>
      <c r="C227" s="134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/>
      <c r="R227"/>
      <c r="S227"/>
      <c r="T227"/>
      <c r="U227"/>
      <c r="V227"/>
      <c r="W227"/>
      <c r="X227" s="66"/>
      <c r="Y227" s="4"/>
      <c r="Z227" s="4"/>
      <c r="AA227" s="4"/>
      <c r="AB227" s="4"/>
      <c r="AC227" s="4"/>
      <c r="AD227" s="4"/>
      <c r="AE227" s="4"/>
      <c r="AF227" s="4"/>
      <c r="AG227"/>
      <c r="AH227"/>
      <c r="AI227"/>
      <c r="AJ227"/>
      <c r="AK227"/>
      <c r="AL227"/>
      <c r="AM227"/>
      <c r="AN227"/>
      <c r="AO227" s="148">
        <f t="shared" si="144"/>
        <v>8.9267000000000003</v>
      </c>
      <c r="AP227" s="195">
        <v>114</v>
      </c>
      <c r="AQ227" s="195" t="s">
        <v>523</v>
      </c>
      <c r="AR227" s="195" t="s">
        <v>524</v>
      </c>
      <c r="AS227" s="195" t="s">
        <v>529</v>
      </c>
      <c r="AT227" s="195" t="s">
        <v>528</v>
      </c>
      <c r="AU227" s="195" t="s">
        <v>520</v>
      </c>
      <c r="AV227" s="195" t="s">
        <v>527</v>
      </c>
      <c r="AW227" s="195" t="s">
        <v>525</v>
      </c>
      <c r="AX227" s="195" t="s">
        <v>521</v>
      </c>
      <c r="AZ227"/>
      <c r="BA227"/>
      <c r="BB227"/>
      <c r="BC227"/>
      <c r="BD227" t="str">
        <f>BE58</f>
        <v>Algerije</v>
      </c>
      <c r="BE227" t="str">
        <f>BE58</f>
        <v>Algerije</v>
      </c>
      <c r="BF227" s="100" t="str">
        <f>BE46</f>
        <v>Kaapverdië</v>
      </c>
      <c r="BG227" s="152"/>
    </row>
    <row r="228" spans="1:59" s="90" customFormat="1" ht="14.25" customHeight="1" x14ac:dyDescent="0.2">
      <c r="A228" s="127"/>
      <c r="B228"/>
      <c r="C228" s="134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/>
      <c r="R228"/>
      <c r="S228"/>
      <c r="T228"/>
      <c r="U228"/>
      <c r="V228"/>
      <c r="W228"/>
      <c r="X228" s="66"/>
      <c r="Y228" s="4"/>
      <c r="Z228" s="4"/>
      <c r="AA228" s="4"/>
      <c r="AB228" s="4"/>
      <c r="AC228" s="4"/>
      <c r="AD228" s="4"/>
      <c r="AE228" s="4"/>
      <c r="AF228" s="4"/>
      <c r="AG228"/>
      <c r="AH228"/>
      <c r="AI228"/>
      <c r="AJ228"/>
      <c r="AK228"/>
      <c r="AL228"/>
      <c r="AM228"/>
      <c r="AN228"/>
      <c r="AO228" s="148">
        <f t="shared" si="144"/>
        <v>8.9280000000000008</v>
      </c>
      <c r="AP228" s="195">
        <v>115</v>
      </c>
      <c r="AQ228" s="195" t="s">
        <v>523</v>
      </c>
      <c r="AR228" s="195" t="s">
        <v>524</v>
      </c>
      <c r="AS228" s="195" t="s">
        <v>529</v>
      </c>
      <c r="AT228" s="195" t="s">
        <v>528</v>
      </c>
      <c r="AU228" s="195" t="s">
        <v>520</v>
      </c>
      <c r="AV228" s="195" t="s">
        <v>527</v>
      </c>
      <c r="AW228" s="195" t="s">
        <v>521</v>
      </c>
      <c r="AX228" s="195" t="s">
        <v>526</v>
      </c>
      <c r="AZ228"/>
      <c r="BA228"/>
      <c r="BB228"/>
      <c r="BC228"/>
      <c r="BD228" t="str">
        <f>BE59</f>
        <v>Oostenrijk</v>
      </c>
      <c r="BE228" t="str">
        <f>BE59</f>
        <v>Oostenrijk</v>
      </c>
      <c r="BF228" s="100" t="str">
        <f>BE47</f>
        <v>Saoedi-Arabië</v>
      </c>
      <c r="BG228" s="152"/>
    </row>
    <row r="229" spans="1:59" s="90" customFormat="1" ht="14.25" customHeight="1" x14ac:dyDescent="0.2">
      <c r="A229" s="127"/>
      <c r="B229"/>
      <c r="C229" s="134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/>
      <c r="R229"/>
      <c r="S229"/>
      <c r="T229"/>
      <c r="U229"/>
      <c r="V229"/>
      <c r="W229"/>
      <c r="X229" s="66"/>
      <c r="Y229" s="4"/>
      <c r="Z229" s="4"/>
      <c r="AA229" s="4"/>
      <c r="AB229" s="4"/>
      <c r="AC229" s="4"/>
      <c r="AD229" s="4"/>
      <c r="AE229" s="4"/>
      <c r="AF229" s="4"/>
      <c r="AG229"/>
      <c r="AH229"/>
      <c r="AI229"/>
      <c r="AJ229"/>
      <c r="AK229"/>
      <c r="AL229"/>
      <c r="AM229"/>
      <c r="AN229"/>
      <c r="AO229" s="148">
        <f t="shared" si="144"/>
        <v>8.9261000000000017</v>
      </c>
      <c r="AP229" s="195">
        <v>116</v>
      </c>
      <c r="AQ229" s="195" t="s">
        <v>528</v>
      </c>
      <c r="AR229" s="195" t="s">
        <v>520</v>
      </c>
      <c r="AS229" s="195" t="s">
        <v>529</v>
      </c>
      <c r="AT229" s="195" t="s">
        <v>527</v>
      </c>
      <c r="AU229" s="195" t="s">
        <v>521</v>
      </c>
      <c r="AV229" s="195" t="s">
        <v>522</v>
      </c>
      <c r="AW229" s="195" t="s">
        <v>525</v>
      </c>
      <c r="AX229" s="195" t="s">
        <v>526</v>
      </c>
      <c r="AZ229"/>
      <c r="BA229"/>
      <c r="BB229"/>
      <c r="BC229"/>
      <c r="BD229" t="str">
        <f>BE60</f>
        <v>Jordanië</v>
      </c>
      <c r="BE229" t="str">
        <f>BE60</f>
        <v>Jordanië</v>
      </c>
      <c r="BF229" s="100" t="str">
        <f>BE48</f>
        <v>Uruguay</v>
      </c>
      <c r="BG229" s="152"/>
    </row>
    <row r="230" spans="1:59" s="90" customFormat="1" ht="14.25" customHeight="1" x14ac:dyDescent="0.2">
      <c r="A230" s="127"/>
      <c r="B230"/>
      <c r="C230" s="134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/>
      <c r="R230"/>
      <c r="S230"/>
      <c r="T230"/>
      <c r="U230"/>
      <c r="V230"/>
      <c r="W230"/>
      <c r="X230" s="66"/>
      <c r="Y230" s="4"/>
      <c r="Z230" s="4"/>
      <c r="AA230" s="4"/>
      <c r="AB230" s="4"/>
      <c r="AC230" s="4"/>
      <c r="AD230" s="4"/>
      <c r="AE230" s="4"/>
      <c r="AF230" s="4"/>
      <c r="AG230"/>
      <c r="AH230"/>
      <c r="AI230"/>
      <c r="AJ230"/>
      <c r="AK230"/>
      <c r="AL230"/>
      <c r="AM230"/>
      <c r="AN230"/>
      <c r="AO230" s="148">
        <f t="shared" si="144"/>
        <v>8.9291000000000018</v>
      </c>
      <c r="AP230" s="195">
        <v>117</v>
      </c>
      <c r="AQ230" s="195" t="s">
        <v>528</v>
      </c>
      <c r="AR230" s="195" t="s">
        <v>520</v>
      </c>
      <c r="AS230" s="195" t="s">
        <v>529</v>
      </c>
      <c r="AT230" s="195" t="s">
        <v>527</v>
      </c>
      <c r="AU230" s="195" t="s">
        <v>523</v>
      </c>
      <c r="AV230" s="195" t="s">
        <v>522</v>
      </c>
      <c r="AW230" s="195" t="s">
        <v>525</v>
      </c>
      <c r="AX230" s="195" t="s">
        <v>526</v>
      </c>
      <c r="AZ230"/>
      <c r="BA230"/>
      <c r="BB230"/>
      <c r="BC230"/>
      <c r="BD230" t="str">
        <f>BE63</f>
        <v>Congo</v>
      </c>
      <c r="BE230" t="str">
        <f>BE63</f>
        <v>Congo</v>
      </c>
      <c r="BF230" s="152" t="str">
        <f>BE51</f>
        <v>Irak</v>
      </c>
      <c r="BG230" s="152"/>
    </row>
    <row r="231" spans="1:59" s="90" customFormat="1" ht="14.25" customHeight="1" x14ac:dyDescent="0.2">
      <c r="A231" s="127"/>
      <c r="B231"/>
      <c r="C231" s="134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/>
      <c r="R231"/>
      <c r="S231"/>
      <c r="T231"/>
      <c r="U231"/>
      <c r="V231"/>
      <c r="W231"/>
      <c r="X231" s="66"/>
      <c r="Y231" s="4"/>
      <c r="Z231" s="4"/>
      <c r="AA231" s="4"/>
      <c r="AB231" s="4"/>
      <c r="AC231" s="4"/>
      <c r="AD231" s="4"/>
      <c r="AE231" s="4"/>
      <c r="AF231" s="4"/>
      <c r="AG231"/>
      <c r="AH231"/>
      <c r="AI231"/>
      <c r="AJ231"/>
      <c r="AK231"/>
      <c r="AL231"/>
      <c r="AM231"/>
      <c r="AN231"/>
      <c r="AO231" s="148">
        <f t="shared" si="144"/>
        <v>8.9294000000000011</v>
      </c>
      <c r="AP231" s="195">
        <v>118</v>
      </c>
      <c r="AQ231" s="195" t="s">
        <v>528</v>
      </c>
      <c r="AR231" s="195" t="s">
        <v>521</v>
      </c>
      <c r="AS231" s="195" t="s">
        <v>529</v>
      </c>
      <c r="AT231" s="195" t="s">
        <v>527</v>
      </c>
      <c r="AU231" s="195" t="s">
        <v>523</v>
      </c>
      <c r="AV231" s="195" t="s">
        <v>522</v>
      </c>
      <c r="AW231" s="195" t="s">
        <v>525</v>
      </c>
      <c r="AX231" s="195" t="s">
        <v>526</v>
      </c>
      <c r="AZ231"/>
      <c r="BA231"/>
      <c r="BB231"/>
      <c r="BC231"/>
      <c r="BD231" t="str">
        <f>BE64</f>
        <v>Portugal</v>
      </c>
      <c r="BE231" t="str">
        <f>BE64</f>
        <v>Portugal</v>
      </c>
      <c r="BF231" s="100" t="str">
        <f>BE52</f>
        <v>Frankrijk</v>
      </c>
      <c r="BG231" s="152"/>
    </row>
    <row r="232" spans="1:59" s="90" customFormat="1" ht="14.25" customHeight="1" x14ac:dyDescent="0.2">
      <c r="A232" s="127"/>
      <c r="B232"/>
      <c r="C232" s="134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/>
      <c r="R232"/>
      <c r="S232"/>
      <c r="T232"/>
      <c r="U232"/>
      <c r="V232"/>
      <c r="W232"/>
      <c r="X232" s="66"/>
      <c r="Y232" s="4"/>
      <c r="Z232" s="4"/>
      <c r="AA232" s="4"/>
      <c r="AB232" s="4"/>
      <c r="AC232" s="4"/>
      <c r="AD232" s="4"/>
      <c r="AE232" s="4"/>
      <c r="AF232" s="4"/>
      <c r="AG232"/>
      <c r="AH232"/>
      <c r="AI232"/>
      <c r="AJ232"/>
      <c r="AK232"/>
      <c r="AL232"/>
      <c r="AM232"/>
      <c r="AN232"/>
      <c r="AO232" s="148">
        <f t="shared" si="144"/>
        <v>8.9276000000000018</v>
      </c>
      <c r="AP232" s="195">
        <v>119</v>
      </c>
      <c r="AQ232" s="195" t="s">
        <v>528</v>
      </c>
      <c r="AR232" s="195" t="s">
        <v>520</v>
      </c>
      <c r="AS232" s="195" t="s">
        <v>529</v>
      </c>
      <c r="AT232" s="195" t="s">
        <v>527</v>
      </c>
      <c r="AU232" s="195" t="s">
        <v>523</v>
      </c>
      <c r="AV232" s="195" t="s">
        <v>522</v>
      </c>
      <c r="AW232" s="195" t="s">
        <v>525</v>
      </c>
      <c r="AX232" s="195" t="s">
        <v>521</v>
      </c>
      <c r="AZ232"/>
      <c r="BA232"/>
      <c r="BB232"/>
      <c r="BC232"/>
      <c r="BD232" t="str">
        <f>BE65</f>
        <v>Oezbekistan</v>
      </c>
      <c r="BE232" t="str">
        <f>BE65</f>
        <v>Oezbekistan</v>
      </c>
      <c r="BF232" s="100" t="str">
        <f>BE53</f>
        <v>Senegal</v>
      </c>
      <c r="BG232" s="152"/>
    </row>
    <row r="233" spans="1:59" s="90" customFormat="1" ht="14.25" customHeight="1" x14ac:dyDescent="0.2">
      <c r="A233" s="127"/>
      <c r="B233"/>
      <c r="C233" s="134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/>
      <c r="R233"/>
      <c r="S233"/>
      <c r="T233"/>
      <c r="U233"/>
      <c r="V233"/>
      <c r="W233"/>
      <c r="X233" s="66"/>
      <c r="Y233" s="4"/>
      <c r="Z233" s="4"/>
      <c r="AA233" s="4"/>
      <c r="AB233" s="4"/>
      <c r="AC233" s="4"/>
      <c r="AD233" s="4"/>
      <c r="AE233" s="4"/>
      <c r="AF233" s="4"/>
      <c r="AG233"/>
      <c r="AH233"/>
      <c r="AI233"/>
      <c r="AJ233"/>
      <c r="AK233"/>
      <c r="AL233"/>
      <c r="AM233"/>
      <c r="AN233"/>
      <c r="AO233" s="148">
        <f t="shared" si="144"/>
        <v>8.9289000000000005</v>
      </c>
      <c r="AP233" s="195">
        <v>120</v>
      </c>
      <c r="AQ233" s="195" t="s">
        <v>528</v>
      </c>
      <c r="AR233" s="195" t="s">
        <v>520</v>
      </c>
      <c r="AS233" s="195" t="s">
        <v>529</v>
      </c>
      <c r="AT233" s="195" t="s">
        <v>527</v>
      </c>
      <c r="AU233" s="195" t="s">
        <v>523</v>
      </c>
      <c r="AV233" s="195" t="s">
        <v>522</v>
      </c>
      <c r="AW233" s="195" t="s">
        <v>521</v>
      </c>
      <c r="AX233" s="195" t="s">
        <v>526</v>
      </c>
      <c r="AZ233"/>
      <c r="BA233"/>
      <c r="BB233"/>
      <c r="BC233"/>
      <c r="BD233" t="str">
        <f>BE66</f>
        <v>Colombia</v>
      </c>
      <c r="BE233" t="str">
        <f>BE66</f>
        <v>Colombia</v>
      </c>
      <c r="BF233" s="100" t="str">
        <f>BE54</f>
        <v>Noorwegen</v>
      </c>
      <c r="BG233" s="152"/>
    </row>
    <row r="234" spans="1:59" s="90" customFormat="1" ht="14.25" customHeight="1" x14ac:dyDescent="0.2">
      <c r="A234" s="127"/>
      <c r="B234"/>
      <c r="C234" s="1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/>
      <c r="R234"/>
      <c r="S234"/>
      <c r="T234"/>
      <c r="U234"/>
      <c r="V234"/>
      <c r="W234"/>
      <c r="X234" s="66"/>
      <c r="Y234" s="4"/>
      <c r="Z234" s="4"/>
      <c r="AA234" s="4"/>
      <c r="AB234" s="4"/>
      <c r="AC234" s="4"/>
      <c r="AD234" s="4"/>
      <c r="AE234" s="4"/>
      <c r="AF234" s="4"/>
      <c r="AG234"/>
      <c r="AH234"/>
      <c r="AI234"/>
      <c r="AJ234"/>
      <c r="AK234"/>
      <c r="AL234"/>
      <c r="AM234"/>
      <c r="AN234"/>
      <c r="AO234" s="148">
        <f t="shared" si="144"/>
        <v>8.9259000000000004</v>
      </c>
      <c r="AP234" s="195">
        <v>121</v>
      </c>
      <c r="AQ234" s="195" t="s">
        <v>528</v>
      </c>
      <c r="AR234" s="195" t="s">
        <v>524</v>
      </c>
      <c r="AS234" s="195" t="s">
        <v>529</v>
      </c>
      <c r="AT234" s="195" t="s">
        <v>527</v>
      </c>
      <c r="AU234" s="195" t="s">
        <v>520</v>
      </c>
      <c r="AV234" s="195" t="s">
        <v>522</v>
      </c>
      <c r="AW234" s="195" t="s">
        <v>525</v>
      </c>
      <c r="AX234" s="195" t="s">
        <v>526</v>
      </c>
      <c r="AZ234"/>
      <c r="BA234"/>
      <c r="BB234"/>
      <c r="BC234"/>
      <c r="BD234"/>
      <c r="BE234" t="str">
        <f t="shared" ref="BE234:BE237" si="150">BE69</f>
        <v>Engeland</v>
      </c>
      <c r="BF234" s="152" t="str">
        <f>BE57</f>
        <v>Argentinië</v>
      </c>
      <c r="BG234" s="152"/>
    </row>
    <row r="235" spans="1:59" s="90" customFormat="1" ht="14.25" customHeight="1" x14ac:dyDescent="0.2">
      <c r="A235" s="127"/>
      <c r="B235"/>
      <c r="C235" s="134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/>
      <c r="R235"/>
      <c r="S235"/>
      <c r="T235"/>
      <c r="U235"/>
      <c r="V235"/>
      <c r="W235"/>
      <c r="X235" s="66"/>
      <c r="Y235" s="4"/>
      <c r="Z235" s="4"/>
      <c r="AA235" s="4"/>
      <c r="AB235" s="4"/>
      <c r="AC235" s="4"/>
      <c r="AD235" s="4"/>
      <c r="AE235" s="4"/>
      <c r="AF235" s="4"/>
      <c r="AG235"/>
      <c r="AH235"/>
      <c r="AI235"/>
      <c r="AJ235"/>
      <c r="AK235"/>
      <c r="AL235"/>
      <c r="AM235"/>
      <c r="AN235"/>
      <c r="AO235" s="148">
        <f t="shared" si="144"/>
        <v>8.9262000000000015</v>
      </c>
      <c r="AP235" s="195">
        <v>122</v>
      </c>
      <c r="AQ235" s="195" t="s">
        <v>528</v>
      </c>
      <c r="AR235" s="195" t="s">
        <v>524</v>
      </c>
      <c r="AS235" s="195" t="s">
        <v>529</v>
      </c>
      <c r="AT235" s="195" t="s">
        <v>527</v>
      </c>
      <c r="AU235" s="195" t="s">
        <v>521</v>
      </c>
      <c r="AV235" s="195" t="s">
        <v>522</v>
      </c>
      <c r="AW235" s="195" t="s">
        <v>525</v>
      </c>
      <c r="AX235" s="195" t="s">
        <v>526</v>
      </c>
      <c r="AZ235"/>
      <c r="BA235"/>
      <c r="BB235"/>
      <c r="BC235"/>
      <c r="BD235"/>
      <c r="BE235" t="str">
        <f t="shared" si="150"/>
        <v>Kroatië</v>
      </c>
      <c r="BF235" s="100" t="str">
        <f>BE58</f>
        <v>Algerije</v>
      </c>
      <c r="BG235" s="152"/>
    </row>
    <row r="236" spans="1:59" s="90" customFormat="1" ht="14.25" customHeight="1" x14ac:dyDescent="0.2">
      <c r="A236" s="127"/>
      <c r="B236"/>
      <c r="C236" s="134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/>
      <c r="R236"/>
      <c r="S236"/>
      <c r="T236"/>
      <c r="U236"/>
      <c r="V236"/>
      <c r="W236"/>
      <c r="X236" s="66"/>
      <c r="Y236" s="4"/>
      <c r="Z236" s="4"/>
      <c r="AA236" s="4"/>
      <c r="AB236" s="4"/>
      <c r="AC236" s="4"/>
      <c r="AD236" s="4"/>
      <c r="AE236" s="4"/>
      <c r="AF236" s="4"/>
      <c r="AG236"/>
      <c r="AH236"/>
      <c r="AI236"/>
      <c r="AJ236"/>
      <c r="AK236"/>
      <c r="AL236"/>
      <c r="AM236"/>
      <c r="AN236"/>
      <c r="AO236" s="148">
        <f t="shared" si="144"/>
        <v>8.9244000000000003</v>
      </c>
      <c r="AP236" s="195">
        <v>123</v>
      </c>
      <c r="AQ236" s="195" t="s">
        <v>528</v>
      </c>
      <c r="AR236" s="195" t="s">
        <v>524</v>
      </c>
      <c r="AS236" s="195" t="s">
        <v>529</v>
      </c>
      <c r="AT236" s="195" t="s">
        <v>527</v>
      </c>
      <c r="AU236" s="195" t="s">
        <v>520</v>
      </c>
      <c r="AV236" s="195" t="s">
        <v>522</v>
      </c>
      <c r="AW236" s="195" t="s">
        <v>525</v>
      </c>
      <c r="AX236" s="195" t="s">
        <v>521</v>
      </c>
      <c r="AZ236"/>
      <c r="BA236"/>
      <c r="BB236"/>
      <c r="BC236"/>
      <c r="BD236"/>
      <c r="BE236" t="str">
        <f t="shared" si="150"/>
        <v>Ghana</v>
      </c>
      <c r="BF236" s="100" t="str">
        <f>BE59</f>
        <v>Oostenrijk</v>
      </c>
      <c r="BG236" s="152"/>
    </row>
    <row r="237" spans="1:59" s="90" customFormat="1" ht="14.25" customHeight="1" x14ac:dyDescent="0.2">
      <c r="A237" s="127"/>
      <c r="B237"/>
      <c r="C237" s="134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/>
      <c r="R237"/>
      <c r="S237"/>
      <c r="T237"/>
      <c r="U237"/>
      <c r="V237"/>
      <c r="W237"/>
      <c r="X237" s="66"/>
      <c r="Y237" s="4"/>
      <c r="Z237" s="4"/>
      <c r="AA237" s="4"/>
      <c r="AB237" s="4"/>
      <c r="AC237" s="4"/>
      <c r="AD237" s="4"/>
      <c r="AE237" s="4"/>
      <c r="AF237" s="4"/>
      <c r="AG237"/>
      <c r="AH237"/>
      <c r="AI237"/>
      <c r="AJ237"/>
      <c r="AK237"/>
      <c r="AL237"/>
      <c r="AM237"/>
      <c r="AN237"/>
      <c r="AO237" s="148">
        <f t="shared" si="144"/>
        <v>8.9256999999999991</v>
      </c>
      <c r="AP237" s="195">
        <v>124</v>
      </c>
      <c r="AQ237" s="195" t="s">
        <v>528</v>
      </c>
      <c r="AR237" s="195" t="s">
        <v>524</v>
      </c>
      <c r="AS237" s="195" t="s">
        <v>529</v>
      </c>
      <c r="AT237" s="195" t="s">
        <v>527</v>
      </c>
      <c r="AU237" s="195" t="s">
        <v>520</v>
      </c>
      <c r="AV237" s="195" t="s">
        <v>522</v>
      </c>
      <c r="AW237" s="195" t="s">
        <v>521</v>
      </c>
      <c r="AX237" s="195" t="s">
        <v>526</v>
      </c>
      <c r="AZ237"/>
      <c r="BA237"/>
      <c r="BB237"/>
      <c r="BC237"/>
      <c r="BD237"/>
      <c r="BE237" t="str">
        <f t="shared" si="150"/>
        <v>Panama</v>
      </c>
      <c r="BF237" s="100" t="str">
        <f>BE60</f>
        <v>Jordanië</v>
      </c>
      <c r="BG237" s="152"/>
    </row>
    <row r="238" spans="1:59" s="90" customFormat="1" ht="14.25" customHeight="1" x14ac:dyDescent="0.2">
      <c r="A238" s="127"/>
      <c r="B238"/>
      <c r="C238" s="134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/>
      <c r="R238"/>
      <c r="S238"/>
      <c r="T238"/>
      <c r="U238"/>
      <c r="V238"/>
      <c r="W238"/>
      <c r="X238" s="66"/>
      <c r="Y238" s="4"/>
      <c r="Z238" s="4"/>
      <c r="AA238" s="4"/>
      <c r="AB238" s="4"/>
      <c r="AC238" s="4"/>
      <c r="AD238" s="4"/>
      <c r="AE238" s="4"/>
      <c r="AF238" s="4"/>
      <c r="AG238"/>
      <c r="AH238"/>
      <c r="AI238"/>
      <c r="AJ238"/>
      <c r="AK238"/>
      <c r="AL238"/>
      <c r="AM238"/>
      <c r="AN238"/>
      <c r="AO238" s="148">
        <f t="shared" si="144"/>
        <v>8.9292000000000016</v>
      </c>
      <c r="AP238" s="195">
        <v>125</v>
      </c>
      <c r="AQ238" s="195" t="s">
        <v>528</v>
      </c>
      <c r="AR238" s="195" t="s">
        <v>524</v>
      </c>
      <c r="AS238" s="195" t="s">
        <v>529</v>
      </c>
      <c r="AT238" s="195" t="s">
        <v>527</v>
      </c>
      <c r="AU238" s="195" t="s">
        <v>523</v>
      </c>
      <c r="AV238" s="195" t="s">
        <v>522</v>
      </c>
      <c r="AW238" s="195" t="s">
        <v>525</v>
      </c>
      <c r="AX238" s="195" t="s">
        <v>526</v>
      </c>
      <c r="AZ238"/>
      <c r="BA238"/>
      <c r="BB238"/>
      <c r="BC238"/>
      <c r="BD238"/>
      <c r="BE238"/>
      <c r="BF238" s="100"/>
      <c r="BG238" s="152"/>
    </row>
    <row r="239" spans="1:59" s="90" customFormat="1" ht="14.25" customHeight="1" x14ac:dyDescent="0.2">
      <c r="A239" s="127"/>
      <c r="B239"/>
      <c r="C239" s="134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/>
      <c r="R239"/>
      <c r="S239"/>
      <c r="T239"/>
      <c r="U239"/>
      <c r="V239"/>
      <c r="W239"/>
      <c r="X239" s="66"/>
      <c r="Y239" s="4"/>
      <c r="Z239" s="4"/>
      <c r="AA239" s="4"/>
      <c r="AB239" s="4"/>
      <c r="AC239" s="4"/>
      <c r="AD239" s="4"/>
      <c r="AE239" s="4"/>
      <c r="AF239" s="4"/>
      <c r="AG239"/>
      <c r="AH239"/>
      <c r="AI239"/>
      <c r="AJ239"/>
      <c r="AK239"/>
      <c r="AL239"/>
      <c r="AM239"/>
      <c r="AN239"/>
      <c r="AO239" s="148">
        <f t="shared" si="144"/>
        <v>8.9274000000000004</v>
      </c>
      <c r="AP239" s="195">
        <v>126</v>
      </c>
      <c r="AQ239" s="195" t="s">
        <v>528</v>
      </c>
      <c r="AR239" s="195" t="s">
        <v>524</v>
      </c>
      <c r="AS239" s="195" t="s">
        <v>529</v>
      </c>
      <c r="AT239" s="195" t="s">
        <v>527</v>
      </c>
      <c r="AU239" s="195" t="s">
        <v>523</v>
      </c>
      <c r="AV239" s="195" t="s">
        <v>522</v>
      </c>
      <c r="AW239" s="195" t="s">
        <v>525</v>
      </c>
      <c r="AX239" s="195" t="s">
        <v>520</v>
      </c>
      <c r="AZ239"/>
      <c r="BA239"/>
      <c r="BB239"/>
      <c r="BC239"/>
      <c r="BD239" s="91" t="s">
        <v>698</v>
      </c>
      <c r="BE239" s="91" t="s">
        <v>707</v>
      </c>
      <c r="BF239" s="212" t="s">
        <v>692</v>
      </c>
      <c r="BG239" s="152"/>
    </row>
    <row r="240" spans="1:59" s="90" customFormat="1" ht="14.25" customHeight="1" x14ac:dyDescent="0.2">
      <c r="A240" s="127"/>
      <c r="B240"/>
      <c r="C240" s="134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/>
      <c r="R240"/>
      <c r="S240"/>
      <c r="T240"/>
      <c r="U240"/>
      <c r="V240"/>
      <c r="W240"/>
      <c r="X240" s="66"/>
      <c r="Y240" s="4"/>
      <c r="Z240" s="4"/>
      <c r="AA240" s="4"/>
      <c r="AB240" s="4"/>
      <c r="AC240" s="4"/>
      <c r="AD240" s="4"/>
      <c r="AE240" s="4"/>
      <c r="AF240" s="4"/>
      <c r="AG240"/>
      <c r="AH240"/>
      <c r="AI240"/>
      <c r="AJ240"/>
      <c r="AK240"/>
      <c r="AL240"/>
      <c r="AM240"/>
      <c r="AN240"/>
      <c r="AO240" s="148">
        <f t="shared" si="144"/>
        <v>8.9286999999999992</v>
      </c>
      <c r="AP240" s="195">
        <v>127</v>
      </c>
      <c r="AQ240" s="195" t="s">
        <v>523</v>
      </c>
      <c r="AR240" s="195" t="s">
        <v>524</v>
      </c>
      <c r="AS240" s="195" t="s">
        <v>529</v>
      </c>
      <c r="AT240" s="195" t="s">
        <v>528</v>
      </c>
      <c r="AU240" s="195" t="s">
        <v>520</v>
      </c>
      <c r="AV240" s="195" t="s">
        <v>522</v>
      </c>
      <c r="AW240" s="195" t="s">
        <v>527</v>
      </c>
      <c r="AX240" s="195" t="s">
        <v>526</v>
      </c>
      <c r="AZ240"/>
      <c r="BA240"/>
      <c r="BB240"/>
      <c r="BC240"/>
      <c r="BD240" t="str">
        <f>BE3</f>
        <v>Mexico</v>
      </c>
      <c r="BE240" s="90" t="str">
        <f>BE3</f>
        <v>Mexico</v>
      </c>
      <c r="BF240" s="152" t="str">
        <f t="shared" ref="BF240:BF243" si="151">BE9</f>
        <v>Canada</v>
      </c>
      <c r="BG240" s="152"/>
    </row>
    <row r="241" spans="1:59" s="90" customFormat="1" ht="14.25" customHeight="1" x14ac:dyDescent="0.2">
      <c r="A241" s="127"/>
      <c r="B241"/>
      <c r="C241" s="134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/>
      <c r="R241"/>
      <c r="S241"/>
      <c r="T241"/>
      <c r="U241"/>
      <c r="V241"/>
      <c r="W241"/>
      <c r="X241" s="66"/>
      <c r="Y241" s="4"/>
      <c r="Z241" s="4"/>
      <c r="AA241" s="4"/>
      <c r="AB241" s="4"/>
      <c r="AC241" s="4"/>
      <c r="AD241" s="4"/>
      <c r="AE241" s="4"/>
      <c r="AF241" s="4"/>
      <c r="AG241"/>
      <c r="AH241"/>
      <c r="AI241"/>
      <c r="AJ241"/>
      <c r="AK241"/>
      <c r="AL241"/>
      <c r="AM241"/>
      <c r="AN241"/>
      <c r="AO241" s="148">
        <f t="shared" si="144"/>
        <v>8.9277000000000015</v>
      </c>
      <c r="AP241" s="195">
        <v>128</v>
      </c>
      <c r="AQ241" s="195" t="s">
        <v>528</v>
      </c>
      <c r="AR241" s="195" t="s">
        <v>524</v>
      </c>
      <c r="AS241" s="195" t="s">
        <v>529</v>
      </c>
      <c r="AT241" s="195" t="s">
        <v>527</v>
      </c>
      <c r="AU241" s="195" t="s">
        <v>523</v>
      </c>
      <c r="AV241" s="195" t="s">
        <v>522</v>
      </c>
      <c r="AW241" s="195" t="s">
        <v>525</v>
      </c>
      <c r="AX241" s="195" t="s">
        <v>521</v>
      </c>
      <c r="AZ241"/>
      <c r="BA241"/>
      <c r="BB241"/>
      <c r="BC241"/>
      <c r="BD241" t="str">
        <f>BE4</f>
        <v>Zuid-Afrika</v>
      </c>
      <c r="BE241" s="90" t="str">
        <f>BE4</f>
        <v>Zuid-Afrika</v>
      </c>
      <c r="BF241" s="100" t="str">
        <f t="shared" si="151"/>
        <v>Qatar</v>
      </c>
      <c r="BG241" s="152"/>
    </row>
    <row r="242" spans="1:59" s="90" customFormat="1" ht="14.25" customHeight="1" x14ac:dyDescent="0.2">
      <c r="A242" s="127"/>
      <c r="B242"/>
      <c r="C242" s="134"/>
      <c r="D242"/>
      <c r="E242"/>
      <c r="F242"/>
      <c r="G242"/>
      <c r="H242"/>
      <c r="I242"/>
      <c r="J242"/>
      <c r="K242"/>
      <c r="L242"/>
      <c r="M242"/>
      <c r="N242"/>
      <c r="O242"/>
      <c r="P242"/>
      <c r="Q242"/>
      <c r="R242"/>
      <c r="S242"/>
      <c r="T242"/>
      <c r="U242"/>
      <c r="V242"/>
      <c r="W242"/>
      <c r="X242" s="66"/>
      <c r="Y242" s="4"/>
      <c r="Z242" s="4"/>
      <c r="AA242" s="4"/>
      <c r="AB242" s="4"/>
      <c r="AC242" s="4"/>
      <c r="AD242" s="4"/>
      <c r="AE242" s="4"/>
      <c r="AF242" s="4"/>
      <c r="AG242"/>
      <c r="AH242"/>
      <c r="AI242"/>
      <c r="AJ242"/>
      <c r="AK242"/>
      <c r="AL242"/>
      <c r="AM242"/>
      <c r="AN242"/>
      <c r="AO242" s="148">
        <f t="shared" ref="AO242:AO305" si="152">VLOOKUP(AQ242,$AN$98:$BA$109,14,0)+VLOOKUP(AR242,$AN$98:$BA$109,14,0)+VLOOKUP(AS242,$AN$98:$BA$109,14,0)+VLOOKUP(AT242,$AN$98:$BA$109,14,0)+VLOOKUP(AU242,$AN$98:$BA$109,14,0)+VLOOKUP(AV242,$AN$98:$BA$109,14,0)+VLOOKUP(AW242,$AN$98:$BA$109,14,0)+VLOOKUP(AX242,$AN$98:$BA$109,14,0)</f>
        <v>8.9290000000000003</v>
      </c>
      <c r="AP242" s="195">
        <v>129</v>
      </c>
      <c r="AQ242" s="195" t="s">
        <v>528</v>
      </c>
      <c r="AR242" s="195" t="s">
        <v>524</v>
      </c>
      <c r="AS242" s="195" t="s">
        <v>529</v>
      </c>
      <c r="AT242" s="195" t="s">
        <v>527</v>
      </c>
      <c r="AU242" s="195" t="s">
        <v>523</v>
      </c>
      <c r="AV242" s="195" t="s">
        <v>522</v>
      </c>
      <c r="AW242" s="195" t="s">
        <v>521</v>
      </c>
      <c r="AX242" s="195" t="s">
        <v>526</v>
      </c>
      <c r="AZ242"/>
      <c r="BA242"/>
      <c r="BB242"/>
      <c r="BC242"/>
      <c r="BD242" t="str">
        <f>BE5</f>
        <v>Zuid-Korea</v>
      </c>
      <c r="BE242" s="90" t="str">
        <f>BE5</f>
        <v>Zuid-Korea</v>
      </c>
      <c r="BF242" s="100" t="str">
        <f t="shared" si="151"/>
        <v>Zwitserland</v>
      </c>
      <c r="BG242" s="152"/>
    </row>
    <row r="243" spans="1:59" s="90" customFormat="1" ht="14.25" customHeight="1" x14ac:dyDescent="0.2">
      <c r="A243" s="127"/>
      <c r="B243"/>
      <c r="C243" s="134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/>
      <c r="R243"/>
      <c r="S243"/>
      <c r="T243"/>
      <c r="U243"/>
      <c r="V243"/>
      <c r="W243"/>
      <c r="X243" s="66"/>
      <c r="Y243" s="4"/>
      <c r="Z243" s="4"/>
      <c r="AA243" s="4"/>
      <c r="AB243" s="4"/>
      <c r="AC243" s="4"/>
      <c r="AD243" s="4"/>
      <c r="AE243" s="4"/>
      <c r="AF243" s="4"/>
      <c r="AG243"/>
      <c r="AH243"/>
      <c r="AI243"/>
      <c r="AJ243"/>
      <c r="AK243"/>
      <c r="AL243"/>
      <c r="AM243"/>
      <c r="AN243"/>
      <c r="AO243" s="148">
        <f t="shared" si="152"/>
        <v>8.9272000000000009</v>
      </c>
      <c r="AP243" s="195">
        <v>130</v>
      </c>
      <c r="AQ243" s="195" t="s">
        <v>523</v>
      </c>
      <c r="AR243" s="195" t="s">
        <v>524</v>
      </c>
      <c r="AS243" s="195" t="s">
        <v>529</v>
      </c>
      <c r="AT243" s="195" t="s">
        <v>528</v>
      </c>
      <c r="AU243" s="195" t="s">
        <v>520</v>
      </c>
      <c r="AV243" s="195" t="s">
        <v>522</v>
      </c>
      <c r="AW243" s="195" t="s">
        <v>527</v>
      </c>
      <c r="AX243" s="195" t="s">
        <v>521</v>
      </c>
      <c r="AZ243"/>
      <c r="BA243"/>
      <c r="BB243"/>
      <c r="BC243"/>
      <c r="BD243" t="str">
        <f>BE6</f>
        <v>Tsjechië</v>
      </c>
      <c r="BE243" s="90" t="str">
        <f>BE6</f>
        <v>Tsjechië</v>
      </c>
      <c r="BF243" s="100" t="str">
        <f t="shared" si="151"/>
        <v>Bosnië-Herzegovina</v>
      </c>
      <c r="BG243" s="152"/>
    </row>
    <row r="244" spans="1:59" s="90" customFormat="1" ht="14.25" customHeight="1" x14ac:dyDescent="0.2">
      <c r="A244" s="127"/>
      <c r="B244"/>
      <c r="C244" s="13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/>
      <c r="R244"/>
      <c r="S244"/>
      <c r="T244"/>
      <c r="U244"/>
      <c r="V244"/>
      <c r="W244"/>
      <c r="X244" s="66"/>
      <c r="Y244" s="4"/>
      <c r="Z244" s="4"/>
      <c r="AA244" s="4"/>
      <c r="AB244" s="4"/>
      <c r="AC244" s="4"/>
      <c r="AD244" s="4"/>
      <c r="AE244" s="4"/>
      <c r="AF244" s="4"/>
      <c r="AG244"/>
      <c r="AH244"/>
      <c r="AI244"/>
      <c r="AJ244"/>
      <c r="AK244"/>
      <c r="AL244"/>
      <c r="AM244"/>
      <c r="AN244"/>
      <c r="AO244" s="148">
        <f t="shared" si="152"/>
        <v>8.9257000000000009</v>
      </c>
      <c r="AP244" s="195">
        <v>131</v>
      </c>
      <c r="AQ244" s="195" t="s">
        <v>519</v>
      </c>
      <c r="AR244" s="195" t="s">
        <v>520</v>
      </c>
      <c r="AS244" s="195" t="s">
        <v>529</v>
      </c>
      <c r="AT244" s="195" t="s">
        <v>528</v>
      </c>
      <c r="AU244" s="195" t="s">
        <v>521</v>
      </c>
      <c r="AV244" s="195" t="s">
        <v>527</v>
      </c>
      <c r="AW244" s="195" t="s">
        <v>525</v>
      </c>
      <c r="AX244" s="195" t="s">
        <v>526</v>
      </c>
      <c r="AZ244"/>
      <c r="BA244"/>
      <c r="BB244"/>
      <c r="BC244"/>
      <c r="BD244" t="str">
        <f>BE27</f>
        <v>Duitsland</v>
      </c>
      <c r="BE244" s="90" t="str">
        <f>BE27</f>
        <v>Duitsland</v>
      </c>
      <c r="BF244" s="100" t="str">
        <f t="shared" ref="BF244:BF247" si="153">BE39</f>
        <v>België</v>
      </c>
      <c r="BG244" s="152"/>
    </row>
    <row r="245" spans="1:59" s="90" customFormat="1" ht="14.25" customHeight="1" x14ac:dyDescent="0.2">
      <c r="A245" s="127"/>
      <c r="B245"/>
      <c r="C245" s="134"/>
      <c r="D245"/>
      <c r="E245"/>
      <c r="F245"/>
      <c r="G245"/>
      <c r="H245"/>
      <c r="I245"/>
      <c r="J245"/>
      <c r="K245"/>
      <c r="L245"/>
      <c r="M245"/>
      <c r="N245"/>
      <c r="O245"/>
      <c r="P245"/>
      <c r="Q245"/>
      <c r="R245"/>
      <c r="S245"/>
      <c r="T245"/>
      <c r="U245"/>
      <c r="V245"/>
      <c r="W245"/>
      <c r="X245" s="66"/>
      <c r="Y245" s="4"/>
      <c r="Z245" s="4"/>
      <c r="AA245" s="4"/>
      <c r="AB245" s="4"/>
      <c r="AC245" s="4"/>
      <c r="AD245" s="4"/>
      <c r="AE245" s="4"/>
      <c r="AF245" s="4"/>
      <c r="AG245"/>
      <c r="AH245"/>
      <c r="AI245"/>
      <c r="AJ245"/>
      <c r="AK245"/>
      <c r="AL245"/>
      <c r="AM245"/>
      <c r="AN245"/>
      <c r="AO245" s="148">
        <f t="shared" si="152"/>
        <v>8.928700000000001</v>
      </c>
      <c r="AP245" s="195">
        <v>132</v>
      </c>
      <c r="AQ245" s="195" t="s">
        <v>519</v>
      </c>
      <c r="AR245" s="195" t="s">
        <v>520</v>
      </c>
      <c r="AS245" s="195" t="s">
        <v>529</v>
      </c>
      <c r="AT245" s="195" t="s">
        <v>528</v>
      </c>
      <c r="AU245" s="195" t="s">
        <v>523</v>
      </c>
      <c r="AV245" s="195" t="s">
        <v>527</v>
      </c>
      <c r="AW245" s="195" t="s">
        <v>525</v>
      </c>
      <c r="AX245" s="195" t="s">
        <v>526</v>
      </c>
      <c r="AZ245"/>
      <c r="BA245"/>
      <c r="BB245"/>
      <c r="BC245"/>
      <c r="BD245" t="str">
        <f>BE28</f>
        <v>Curaçao</v>
      </c>
      <c r="BE245" s="90" t="str">
        <f>BE28</f>
        <v>Curaçao</v>
      </c>
      <c r="BF245" s="152" t="str">
        <f t="shared" si="153"/>
        <v>Egypte</v>
      </c>
      <c r="BG245" s="152"/>
    </row>
    <row r="246" spans="1:59" s="90" customFormat="1" ht="14.25" customHeight="1" x14ac:dyDescent="0.2">
      <c r="A246" s="127"/>
      <c r="B246"/>
      <c r="C246" s="134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/>
      <c r="R246"/>
      <c r="S246"/>
      <c r="T246"/>
      <c r="U246"/>
      <c r="V246"/>
      <c r="W246"/>
      <c r="X246" s="66"/>
      <c r="Y246" s="4"/>
      <c r="Z246" s="4"/>
      <c r="AA246" s="4"/>
      <c r="AB246" s="4"/>
      <c r="AC246" s="4"/>
      <c r="AD246" s="4"/>
      <c r="AE246" s="4"/>
      <c r="AF246" s="4"/>
      <c r="AG246"/>
      <c r="AH246"/>
      <c r="AI246"/>
      <c r="AJ246"/>
      <c r="AK246"/>
      <c r="AL246"/>
      <c r="AM246"/>
      <c r="AN246"/>
      <c r="AO246" s="148">
        <f t="shared" si="152"/>
        <v>8.929000000000002</v>
      </c>
      <c r="AP246" s="195">
        <v>133</v>
      </c>
      <c r="AQ246" s="195" t="s">
        <v>519</v>
      </c>
      <c r="AR246" s="195" t="s">
        <v>521</v>
      </c>
      <c r="AS246" s="195" t="s">
        <v>529</v>
      </c>
      <c r="AT246" s="195" t="s">
        <v>528</v>
      </c>
      <c r="AU246" s="195" t="s">
        <v>523</v>
      </c>
      <c r="AV246" s="195" t="s">
        <v>527</v>
      </c>
      <c r="AW246" s="195" t="s">
        <v>525</v>
      </c>
      <c r="AX246" s="195" t="s">
        <v>526</v>
      </c>
      <c r="AZ246"/>
      <c r="BA246"/>
      <c r="BB246"/>
      <c r="BC246"/>
      <c r="BD246" t="str">
        <f>BE29</f>
        <v>Ivoorkust</v>
      </c>
      <c r="BE246" s="90" t="str">
        <f>BE29</f>
        <v>Ivoorkust</v>
      </c>
      <c r="BF246" s="152" t="str">
        <f t="shared" si="153"/>
        <v>Iran</v>
      </c>
      <c r="BG246" s="152"/>
    </row>
    <row r="247" spans="1:59" s="90" customFormat="1" ht="14.25" customHeight="1" x14ac:dyDescent="0.2">
      <c r="A247" s="127"/>
      <c r="B247"/>
      <c r="C247" s="134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/>
      <c r="R247"/>
      <c r="S247"/>
      <c r="T247"/>
      <c r="U247"/>
      <c r="V247"/>
      <c r="W247"/>
      <c r="X247" s="66"/>
      <c r="Y247" s="4"/>
      <c r="Z247" s="4"/>
      <c r="AA247" s="4"/>
      <c r="AB247" s="4"/>
      <c r="AC247" s="4"/>
      <c r="AD247" s="4"/>
      <c r="AE247" s="4"/>
      <c r="AF247" s="4"/>
      <c r="AG247"/>
      <c r="AH247"/>
      <c r="AI247"/>
      <c r="AJ247"/>
      <c r="AK247"/>
      <c r="AL247"/>
      <c r="AM247"/>
      <c r="AN247"/>
      <c r="AO247" s="148">
        <f t="shared" si="152"/>
        <v>8.9272000000000009</v>
      </c>
      <c r="AP247" s="195">
        <v>134</v>
      </c>
      <c r="AQ247" s="195" t="s">
        <v>519</v>
      </c>
      <c r="AR247" s="195" t="s">
        <v>520</v>
      </c>
      <c r="AS247" s="195" t="s">
        <v>529</v>
      </c>
      <c r="AT247" s="195" t="s">
        <v>528</v>
      </c>
      <c r="AU247" s="195" t="s">
        <v>523</v>
      </c>
      <c r="AV247" s="195" t="s">
        <v>527</v>
      </c>
      <c r="AW247" s="195" t="s">
        <v>525</v>
      </c>
      <c r="AX247" s="195" t="s">
        <v>521</v>
      </c>
      <c r="AZ247"/>
      <c r="BA247"/>
      <c r="BB247"/>
      <c r="BC247"/>
      <c r="BD247" t="str">
        <f>BE30</f>
        <v>Ecuador</v>
      </c>
      <c r="BE247" s="90" t="str">
        <f>BE30</f>
        <v>Ecuador</v>
      </c>
      <c r="BF247" s="100" t="str">
        <f t="shared" si="153"/>
        <v>Nieuw-Zeeland</v>
      </c>
      <c r="BG247" s="152"/>
    </row>
    <row r="248" spans="1:59" s="90" customFormat="1" ht="14.25" customHeight="1" x14ac:dyDescent="0.2">
      <c r="A248" s="127"/>
      <c r="B248"/>
      <c r="C248" s="134"/>
      <c r="D248"/>
      <c r="E248"/>
      <c r="F248"/>
      <c r="G248"/>
      <c r="H248"/>
      <c r="I248"/>
      <c r="J248"/>
      <c r="K248"/>
      <c r="L248"/>
      <c r="M248"/>
      <c r="N248"/>
      <c r="O248"/>
      <c r="P248"/>
      <c r="Q248"/>
      <c r="R248"/>
      <c r="S248"/>
      <c r="T248"/>
      <c r="U248"/>
      <c r="V248"/>
      <c r="W248"/>
      <c r="X248" s="66"/>
      <c r="Y248" s="4"/>
      <c r="Z248" s="4"/>
      <c r="AA248" s="4"/>
      <c r="AB248" s="4"/>
      <c r="AC248" s="4"/>
      <c r="AD248" s="4"/>
      <c r="AE248" s="4"/>
      <c r="AF248" s="4"/>
      <c r="AG248"/>
      <c r="AH248"/>
      <c r="AI248"/>
      <c r="AJ248"/>
      <c r="AK248"/>
      <c r="AL248"/>
      <c r="AM248"/>
      <c r="AN248"/>
      <c r="AO248" s="148">
        <f t="shared" si="152"/>
        <v>8.9284999999999997</v>
      </c>
      <c r="AP248" s="195">
        <v>135</v>
      </c>
      <c r="AQ248" s="195" t="s">
        <v>519</v>
      </c>
      <c r="AR248" s="195" t="s">
        <v>520</v>
      </c>
      <c r="AS248" s="195" t="s">
        <v>529</v>
      </c>
      <c r="AT248" s="195" t="s">
        <v>528</v>
      </c>
      <c r="AU248" s="195" t="s">
        <v>523</v>
      </c>
      <c r="AV248" s="195" t="s">
        <v>527</v>
      </c>
      <c r="AW248" s="195" t="s">
        <v>521</v>
      </c>
      <c r="AX248" s="195" t="s">
        <v>526</v>
      </c>
      <c r="AZ248"/>
      <c r="BA248"/>
      <c r="BB248"/>
      <c r="BC248"/>
      <c r="BD248" t="str">
        <f>BE45</f>
        <v>Spanje</v>
      </c>
      <c r="BE248" s="90" t="str">
        <f t="shared" ref="BE248:BE251" si="154">BE39</f>
        <v>België</v>
      </c>
      <c r="BF248" s="100" t="str">
        <f>BE45</f>
        <v>Spanje</v>
      </c>
      <c r="BG248" s="152"/>
    </row>
    <row r="249" spans="1:59" s="90" customFormat="1" ht="14.25" customHeight="1" x14ac:dyDescent="0.2">
      <c r="A249" s="127"/>
      <c r="B249"/>
      <c r="C249" s="134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/>
      <c r="R249"/>
      <c r="S249"/>
      <c r="T249"/>
      <c r="U249"/>
      <c r="V249"/>
      <c r="W249"/>
      <c r="X249" s="66"/>
      <c r="Y249" s="4"/>
      <c r="Z249" s="4"/>
      <c r="AA249" s="4"/>
      <c r="AB249" s="4"/>
      <c r="AC249" s="4"/>
      <c r="AD249" s="4"/>
      <c r="AE249" s="4"/>
      <c r="AF249" s="4"/>
      <c r="AG249"/>
      <c r="AH249"/>
      <c r="AI249"/>
      <c r="AJ249"/>
      <c r="AK249"/>
      <c r="AL249"/>
      <c r="AM249"/>
      <c r="AN249"/>
      <c r="AO249" s="148">
        <f t="shared" si="152"/>
        <v>8.9254999999999995</v>
      </c>
      <c r="AP249" s="195">
        <v>136</v>
      </c>
      <c r="AQ249" s="195" t="s">
        <v>519</v>
      </c>
      <c r="AR249" s="195" t="s">
        <v>524</v>
      </c>
      <c r="AS249" s="195" t="s">
        <v>529</v>
      </c>
      <c r="AT249" s="195" t="s">
        <v>528</v>
      </c>
      <c r="AU249" s="195" t="s">
        <v>520</v>
      </c>
      <c r="AV249" s="195" t="s">
        <v>527</v>
      </c>
      <c r="AW249" s="195" t="s">
        <v>525</v>
      </c>
      <c r="AX249" s="195" t="s">
        <v>526</v>
      </c>
      <c r="AZ249"/>
      <c r="BA249"/>
      <c r="BB249"/>
      <c r="BC249"/>
      <c r="BD249" t="str">
        <f>BE46</f>
        <v>Kaapverdië</v>
      </c>
      <c r="BE249" s="90" t="str">
        <f t="shared" si="154"/>
        <v>Egypte</v>
      </c>
      <c r="BF249" s="152" t="str">
        <f>BE46</f>
        <v>Kaapverdië</v>
      </c>
      <c r="BG249" s="152"/>
    </row>
    <row r="250" spans="1:59" s="90" customFormat="1" ht="14.25" customHeight="1" x14ac:dyDescent="0.2">
      <c r="A250" s="127"/>
      <c r="B250"/>
      <c r="C250" s="134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/>
      <c r="R250"/>
      <c r="S250"/>
      <c r="T250"/>
      <c r="U250"/>
      <c r="V250"/>
      <c r="W250"/>
      <c r="X250" s="66"/>
      <c r="Y250" s="4"/>
      <c r="Z250" s="4"/>
      <c r="AA250" s="4"/>
      <c r="AB250" s="4"/>
      <c r="AC250" s="4"/>
      <c r="AD250" s="4"/>
      <c r="AE250" s="4"/>
      <c r="AF250" s="4"/>
      <c r="AG250"/>
      <c r="AH250"/>
      <c r="AI250"/>
      <c r="AJ250"/>
      <c r="AK250"/>
      <c r="AL250"/>
      <c r="AM250"/>
      <c r="AN250"/>
      <c r="AO250" s="148">
        <f t="shared" si="152"/>
        <v>8.9258000000000006</v>
      </c>
      <c r="AP250" s="195">
        <v>137</v>
      </c>
      <c r="AQ250" s="195" t="s">
        <v>519</v>
      </c>
      <c r="AR250" s="195" t="s">
        <v>524</v>
      </c>
      <c r="AS250" s="195" t="s">
        <v>529</v>
      </c>
      <c r="AT250" s="195" t="s">
        <v>528</v>
      </c>
      <c r="AU250" s="195" t="s">
        <v>521</v>
      </c>
      <c r="AV250" s="195" t="s">
        <v>527</v>
      </c>
      <c r="AW250" s="195" t="s">
        <v>525</v>
      </c>
      <c r="AX250" s="195" t="s">
        <v>526</v>
      </c>
      <c r="AZ250"/>
      <c r="BA250"/>
      <c r="BB250"/>
      <c r="BC250"/>
      <c r="BD250" t="str">
        <f>BE47</f>
        <v>Saoedi-Arabië</v>
      </c>
      <c r="BE250" s="90" t="str">
        <f t="shared" si="154"/>
        <v>Iran</v>
      </c>
      <c r="BF250" s="152" t="str">
        <f>BE47</f>
        <v>Saoedi-Arabië</v>
      </c>
      <c r="BG250" s="152"/>
    </row>
    <row r="251" spans="1:59" s="90" customFormat="1" ht="14.25" customHeight="1" x14ac:dyDescent="0.2">
      <c r="A251" s="127"/>
      <c r="B251"/>
      <c r="C251" s="134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/>
      <c r="R251"/>
      <c r="S251"/>
      <c r="T251"/>
      <c r="U251"/>
      <c r="V251"/>
      <c r="W251"/>
      <c r="X251" s="66"/>
      <c r="Y251" s="4"/>
      <c r="Z251" s="4"/>
      <c r="AA251" s="4"/>
      <c r="AB251" s="4"/>
      <c r="AC251" s="4"/>
      <c r="AD251" s="4"/>
      <c r="AE251" s="4"/>
      <c r="AF251" s="4"/>
      <c r="AG251"/>
      <c r="AH251"/>
      <c r="AI251"/>
      <c r="AJ251"/>
      <c r="AK251"/>
      <c r="AL251"/>
      <c r="AM251"/>
      <c r="AN251"/>
      <c r="AO251" s="148">
        <f t="shared" si="152"/>
        <v>8.9240000000000013</v>
      </c>
      <c r="AP251" s="195">
        <v>138</v>
      </c>
      <c r="AQ251" s="195" t="s">
        <v>519</v>
      </c>
      <c r="AR251" s="195" t="s">
        <v>524</v>
      </c>
      <c r="AS251" s="195" t="s">
        <v>529</v>
      </c>
      <c r="AT251" s="195" t="s">
        <v>528</v>
      </c>
      <c r="AU251" s="195" t="s">
        <v>520</v>
      </c>
      <c r="AV251" s="195" t="s">
        <v>527</v>
      </c>
      <c r="AW251" s="195" t="s">
        <v>525</v>
      </c>
      <c r="AX251" s="195" t="s">
        <v>521</v>
      </c>
      <c r="AZ251"/>
      <c r="BA251"/>
      <c r="BB251"/>
      <c r="BC251"/>
      <c r="BD251" t="str">
        <f>BE48</f>
        <v>Uruguay</v>
      </c>
      <c r="BE251" s="90" t="str">
        <f t="shared" si="154"/>
        <v>Nieuw-Zeeland</v>
      </c>
      <c r="BF251" s="100" t="str">
        <f>BE48</f>
        <v>Uruguay</v>
      </c>
      <c r="BG251" s="152"/>
    </row>
    <row r="252" spans="1:59" s="90" customFormat="1" ht="14.25" customHeight="1" x14ac:dyDescent="0.2">
      <c r="A252" s="127"/>
      <c r="B252"/>
      <c r="C252" s="134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/>
      <c r="R252"/>
      <c r="S252"/>
      <c r="T252"/>
      <c r="U252"/>
      <c r="V252"/>
      <c r="W252"/>
      <c r="X252" s="66"/>
      <c r="Y252" s="4"/>
      <c r="Z252" s="4"/>
      <c r="AA252" s="4"/>
      <c r="AB252" s="4"/>
      <c r="AC252" s="4"/>
      <c r="AD252" s="4"/>
      <c r="AE252" s="4"/>
      <c r="AF252" s="4"/>
      <c r="AG252"/>
      <c r="AH252"/>
      <c r="AI252"/>
      <c r="AJ252"/>
      <c r="AK252"/>
      <c r="AL252"/>
      <c r="AM252"/>
      <c r="AN252"/>
      <c r="AO252" s="148">
        <f t="shared" si="152"/>
        <v>8.9253</v>
      </c>
      <c r="AP252" s="195">
        <v>139</v>
      </c>
      <c r="AQ252" s="195" t="s">
        <v>519</v>
      </c>
      <c r="AR252" s="195" t="s">
        <v>524</v>
      </c>
      <c r="AS252" s="195" t="s">
        <v>529</v>
      </c>
      <c r="AT252" s="195" t="s">
        <v>528</v>
      </c>
      <c r="AU252" s="195" t="s">
        <v>520</v>
      </c>
      <c r="AV252" s="195" t="s">
        <v>527</v>
      </c>
      <c r="AW252" s="195" t="s">
        <v>521</v>
      </c>
      <c r="AX252" s="195" t="s">
        <v>526</v>
      </c>
      <c r="AZ252"/>
      <c r="BA252"/>
      <c r="BB252"/>
      <c r="BC252"/>
      <c r="BD252" t="str">
        <f>BE51</f>
        <v>Irak</v>
      </c>
      <c r="BE252" s="90" t="str">
        <f>BE45</f>
        <v>Spanje</v>
      </c>
      <c r="BF252" s="100" t="str">
        <f>BE57</f>
        <v>Argentinië</v>
      </c>
      <c r="BG252" s="152"/>
    </row>
    <row r="253" spans="1:59" s="90" customFormat="1" ht="14.25" customHeight="1" x14ac:dyDescent="0.2">
      <c r="A253" s="127"/>
      <c r="B253"/>
      <c r="C253" s="134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/>
      <c r="R253"/>
      <c r="S253"/>
      <c r="T253"/>
      <c r="U253"/>
      <c r="V253"/>
      <c r="W253"/>
      <c r="X253" s="66"/>
      <c r="Y253" s="4"/>
      <c r="Z253" s="4"/>
      <c r="AA253" s="4"/>
      <c r="AB253" s="4"/>
      <c r="AC253" s="4"/>
      <c r="AD253" s="4"/>
      <c r="AE253" s="4"/>
      <c r="AF253" s="4"/>
      <c r="AG253"/>
      <c r="AH253"/>
      <c r="AI253"/>
      <c r="AJ253"/>
      <c r="AK253"/>
      <c r="AL253"/>
      <c r="AM253"/>
      <c r="AN253"/>
      <c r="AO253" s="148">
        <f t="shared" si="152"/>
        <v>8.9288000000000007</v>
      </c>
      <c r="AP253" s="195">
        <v>140</v>
      </c>
      <c r="AQ253" s="195" t="s">
        <v>519</v>
      </c>
      <c r="AR253" s="195" t="s">
        <v>524</v>
      </c>
      <c r="AS253" s="195" t="s">
        <v>529</v>
      </c>
      <c r="AT253" s="195" t="s">
        <v>528</v>
      </c>
      <c r="AU253" s="195" t="s">
        <v>523</v>
      </c>
      <c r="AV253" s="195" t="s">
        <v>527</v>
      </c>
      <c r="AW253" s="195" t="s">
        <v>525</v>
      </c>
      <c r="AX253" s="195" t="s">
        <v>526</v>
      </c>
      <c r="AZ253"/>
      <c r="BA253"/>
      <c r="BB253"/>
      <c r="BC253"/>
      <c r="BD253" t="str">
        <f>BE52</f>
        <v>Frankrijk</v>
      </c>
      <c r="BE253" s="90" t="str">
        <f>BE46</f>
        <v>Kaapverdië</v>
      </c>
      <c r="BF253" s="152" t="str">
        <f>BE58</f>
        <v>Algerije</v>
      </c>
      <c r="BG253" s="152"/>
    </row>
    <row r="254" spans="1:59" s="90" customFormat="1" ht="14.25" customHeight="1" x14ac:dyDescent="0.2">
      <c r="A254" s="127"/>
      <c r="B254"/>
      <c r="C254" s="13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/>
      <c r="R254"/>
      <c r="S254"/>
      <c r="T254"/>
      <c r="U254"/>
      <c r="V254"/>
      <c r="W254"/>
      <c r="X254" s="66"/>
      <c r="Y254" s="4"/>
      <c r="Z254" s="4"/>
      <c r="AA254" s="4"/>
      <c r="AB254" s="4"/>
      <c r="AC254" s="4"/>
      <c r="AD254" s="4"/>
      <c r="AE254" s="4"/>
      <c r="AF254" s="4"/>
      <c r="AG254"/>
      <c r="AH254"/>
      <c r="AI254"/>
      <c r="AJ254"/>
      <c r="AK254"/>
      <c r="AL254"/>
      <c r="AM254"/>
      <c r="AN254"/>
      <c r="AO254" s="148">
        <f t="shared" si="152"/>
        <v>8.9269999999999996</v>
      </c>
      <c r="AP254" s="195">
        <v>141</v>
      </c>
      <c r="AQ254" s="195" t="s">
        <v>523</v>
      </c>
      <c r="AR254" s="195" t="s">
        <v>524</v>
      </c>
      <c r="AS254" s="195" t="s">
        <v>529</v>
      </c>
      <c r="AT254" s="195" t="s">
        <v>528</v>
      </c>
      <c r="AU254" s="195" t="s">
        <v>520</v>
      </c>
      <c r="AV254" s="195" t="s">
        <v>527</v>
      </c>
      <c r="AW254" s="195" t="s">
        <v>525</v>
      </c>
      <c r="AX254" s="195" t="s">
        <v>519</v>
      </c>
      <c r="AZ254"/>
      <c r="BA254"/>
      <c r="BB254"/>
      <c r="BC254"/>
      <c r="BD254" t="str">
        <f>BE53</f>
        <v>Senegal</v>
      </c>
      <c r="BE254" s="90" t="str">
        <f>BE47</f>
        <v>Saoedi-Arabië</v>
      </c>
      <c r="BF254" s="152" t="str">
        <f>BE59</f>
        <v>Oostenrijk</v>
      </c>
      <c r="BG254" s="152"/>
    </row>
    <row r="255" spans="1:59" s="90" customFormat="1" ht="14.25" customHeight="1" x14ac:dyDescent="0.2">
      <c r="A255" s="127"/>
      <c r="B255"/>
      <c r="C255" s="134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/>
      <c r="R255"/>
      <c r="S255"/>
      <c r="T255"/>
      <c r="U255"/>
      <c r="V255"/>
      <c r="W255"/>
      <c r="X255" s="66"/>
      <c r="Y255" s="4"/>
      <c r="Z255" s="4"/>
      <c r="AA255" s="4"/>
      <c r="AB255" s="4"/>
      <c r="AC255" s="4"/>
      <c r="AD255" s="4"/>
      <c r="AE255" s="4"/>
      <c r="AF255" s="4"/>
      <c r="AG255"/>
      <c r="AH255"/>
      <c r="AI255"/>
      <c r="AJ255"/>
      <c r="AK255"/>
      <c r="AL255"/>
      <c r="AM255"/>
      <c r="AN255"/>
      <c r="AO255" s="148">
        <f t="shared" si="152"/>
        <v>8.9283000000000001</v>
      </c>
      <c r="AP255" s="195">
        <v>142</v>
      </c>
      <c r="AQ255" s="195" t="s">
        <v>523</v>
      </c>
      <c r="AR255" s="195" t="s">
        <v>524</v>
      </c>
      <c r="AS255" s="195" t="s">
        <v>529</v>
      </c>
      <c r="AT255" s="195" t="s">
        <v>528</v>
      </c>
      <c r="AU255" s="195" t="s">
        <v>520</v>
      </c>
      <c r="AV255" s="195" t="s">
        <v>527</v>
      </c>
      <c r="AW255" s="195" t="s">
        <v>519</v>
      </c>
      <c r="AX255" s="195" t="s">
        <v>526</v>
      </c>
      <c r="AZ255"/>
      <c r="BA255"/>
      <c r="BB255"/>
      <c r="BC255"/>
      <c r="BD255" t="str">
        <f>BE54</f>
        <v>Noorwegen</v>
      </c>
      <c r="BE255" s="90" t="str">
        <f>BE48</f>
        <v>Uruguay</v>
      </c>
      <c r="BF255" s="100" t="str">
        <f>BE60</f>
        <v>Jordanië</v>
      </c>
      <c r="BG255" s="152"/>
    </row>
    <row r="256" spans="1:59" s="90" customFormat="1" ht="14.25" customHeight="1" x14ac:dyDescent="0.2">
      <c r="A256" s="127"/>
      <c r="B256"/>
      <c r="C256" s="134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/>
      <c r="R256"/>
      <c r="S256"/>
      <c r="T256"/>
      <c r="U256"/>
      <c r="V256"/>
      <c r="W256"/>
      <c r="X256" s="66"/>
      <c r="Y256" s="4"/>
      <c r="Z256" s="4"/>
      <c r="AA256" s="4"/>
      <c r="AB256" s="4"/>
      <c r="AC256" s="4"/>
      <c r="AD256" s="4"/>
      <c r="AE256" s="4"/>
      <c r="AF256" s="4"/>
      <c r="AG256"/>
      <c r="AH256"/>
      <c r="AI256"/>
      <c r="AJ256"/>
      <c r="AK256"/>
      <c r="AL256"/>
      <c r="AM256"/>
      <c r="AN256"/>
      <c r="AO256" s="148">
        <f t="shared" si="152"/>
        <v>8.9273000000000007</v>
      </c>
      <c r="AP256" s="195">
        <v>143</v>
      </c>
      <c r="AQ256" s="195" t="s">
        <v>519</v>
      </c>
      <c r="AR256" s="195" t="s">
        <v>524</v>
      </c>
      <c r="AS256" s="195" t="s">
        <v>529</v>
      </c>
      <c r="AT256" s="195" t="s">
        <v>528</v>
      </c>
      <c r="AU256" s="195" t="s">
        <v>523</v>
      </c>
      <c r="AV256" s="195" t="s">
        <v>527</v>
      </c>
      <c r="AW256" s="195" t="s">
        <v>525</v>
      </c>
      <c r="AX256" s="195" t="s">
        <v>521</v>
      </c>
      <c r="AZ256"/>
      <c r="BA256"/>
      <c r="BB256"/>
      <c r="BC256"/>
      <c r="BD256" t="str">
        <f>BE57</f>
        <v>Argentinië</v>
      </c>
      <c r="BE256" s="90" t="str">
        <f>BE51</f>
        <v>Irak</v>
      </c>
      <c r="BF256" s="100"/>
      <c r="BG256" s="152"/>
    </row>
    <row r="257" spans="1:59" s="90" customFormat="1" ht="14.25" customHeight="1" x14ac:dyDescent="0.2">
      <c r="A257" s="127"/>
      <c r="B257"/>
      <c r="C257" s="134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/>
      <c r="R257"/>
      <c r="S257"/>
      <c r="T257"/>
      <c r="U257"/>
      <c r="V257"/>
      <c r="W257"/>
      <c r="X257" s="66"/>
      <c r="Y257" s="4"/>
      <c r="Z257" s="4"/>
      <c r="AA257" s="4"/>
      <c r="AB257" s="4"/>
      <c r="AC257" s="4"/>
      <c r="AD257" s="4"/>
      <c r="AE257" s="4"/>
      <c r="AF257" s="4"/>
      <c r="AG257"/>
      <c r="AH257"/>
      <c r="AI257"/>
      <c r="AJ257"/>
      <c r="AK257"/>
      <c r="AL257"/>
      <c r="AM257"/>
      <c r="AN257"/>
      <c r="AO257" s="148">
        <f t="shared" si="152"/>
        <v>8.9285999999999994</v>
      </c>
      <c r="AP257" s="195">
        <v>144</v>
      </c>
      <c r="AQ257" s="195" t="s">
        <v>519</v>
      </c>
      <c r="AR257" s="195" t="s">
        <v>524</v>
      </c>
      <c r="AS257" s="195" t="s">
        <v>529</v>
      </c>
      <c r="AT257" s="195" t="s">
        <v>528</v>
      </c>
      <c r="AU257" s="195" t="s">
        <v>523</v>
      </c>
      <c r="AV257" s="195" t="s">
        <v>527</v>
      </c>
      <c r="AW257" s="195" t="s">
        <v>521</v>
      </c>
      <c r="AX257" s="195" t="s">
        <v>526</v>
      </c>
      <c r="AZ257"/>
      <c r="BA257"/>
      <c r="BB257"/>
      <c r="BC257"/>
      <c r="BD257" t="str">
        <f>BE58</f>
        <v>Algerije</v>
      </c>
      <c r="BE257" s="90" t="str">
        <f>BE52</f>
        <v>Frankrijk</v>
      </c>
      <c r="BF257" s="212" t="s">
        <v>693</v>
      </c>
      <c r="BG257" s="152"/>
    </row>
    <row r="258" spans="1:59" s="90" customFormat="1" ht="14.25" customHeight="1" x14ac:dyDescent="0.2">
      <c r="A258" s="127"/>
      <c r="B258"/>
      <c r="C258" s="134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/>
      <c r="R258"/>
      <c r="S258"/>
      <c r="T258"/>
      <c r="U258"/>
      <c r="V258"/>
      <c r="W258"/>
      <c r="X258" s="66"/>
      <c r="Y258" s="4"/>
      <c r="Z258" s="4"/>
      <c r="AA258" s="4"/>
      <c r="AB258" s="4"/>
      <c r="AC258" s="4"/>
      <c r="AD258" s="4"/>
      <c r="AE258" s="4"/>
      <c r="AF258" s="4"/>
      <c r="AG258"/>
      <c r="AH258"/>
      <c r="AI258"/>
      <c r="AJ258"/>
      <c r="AK258"/>
      <c r="AL258"/>
      <c r="AM258"/>
      <c r="AN258"/>
      <c r="AO258" s="148">
        <f t="shared" si="152"/>
        <v>8.9268000000000001</v>
      </c>
      <c r="AP258" s="195">
        <v>145</v>
      </c>
      <c r="AQ258" s="195" t="s">
        <v>523</v>
      </c>
      <c r="AR258" s="195" t="s">
        <v>524</v>
      </c>
      <c r="AS258" s="195" t="s">
        <v>529</v>
      </c>
      <c r="AT258" s="195" t="s">
        <v>528</v>
      </c>
      <c r="AU258" s="195" t="s">
        <v>520</v>
      </c>
      <c r="AV258" s="195" t="s">
        <v>527</v>
      </c>
      <c r="AW258" s="195" t="s">
        <v>519</v>
      </c>
      <c r="AX258" s="195" t="s">
        <v>521</v>
      </c>
      <c r="AZ258"/>
      <c r="BA258"/>
      <c r="BB258"/>
      <c r="BC258"/>
      <c r="BD258" t="str">
        <f>BE59</f>
        <v>Oostenrijk</v>
      </c>
      <c r="BE258" s="90" t="str">
        <f>BE53</f>
        <v>Senegal</v>
      </c>
      <c r="BF258" s="100" t="str">
        <f t="shared" ref="BF258:BF261" si="155">BE9</f>
        <v>Canada</v>
      </c>
      <c r="BG258" s="152"/>
    </row>
    <row r="259" spans="1:59" s="90" customFormat="1" ht="14.25" customHeight="1" x14ac:dyDescent="0.2">
      <c r="A259" s="127"/>
      <c r="B259"/>
      <c r="C259" s="134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/>
      <c r="R259"/>
      <c r="S259"/>
      <c r="T259"/>
      <c r="U259"/>
      <c r="V259"/>
      <c r="W259"/>
      <c r="X259" s="66"/>
      <c r="Y259" s="4"/>
      <c r="Z259" s="4"/>
      <c r="AA259" s="4"/>
      <c r="AB259" s="4"/>
      <c r="AC259" s="4"/>
      <c r="AD259" s="4"/>
      <c r="AE259" s="4"/>
      <c r="AF259" s="4"/>
      <c r="AG259"/>
      <c r="AH259"/>
      <c r="AI259"/>
      <c r="AJ259"/>
      <c r="AK259"/>
      <c r="AL259"/>
      <c r="AM259"/>
      <c r="AN259"/>
      <c r="AO259" s="148">
        <f t="shared" si="152"/>
        <v>8.926400000000001</v>
      </c>
      <c r="AP259" s="195">
        <v>146</v>
      </c>
      <c r="AQ259" s="195" t="s">
        <v>528</v>
      </c>
      <c r="AR259" s="195" t="s">
        <v>520</v>
      </c>
      <c r="AS259" s="195" t="s">
        <v>529</v>
      </c>
      <c r="AT259" s="195" t="s">
        <v>527</v>
      </c>
      <c r="AU259" s="195" t="s">
        <v>519</v>
      </c>
      <c r="AV259" s="195" t="s">
        <v>522</v>
      </c>
      <c r="AW259" s="195" t="s">
        <v>525</v>
      </c>
      <c r="AX259" s="195" t="s">
        <v>526</v>
      </c>
      <c r="AZ259"/>
      <c r="BA259"/>
      <c r="BB259"/>
      <c r="BC259"/>
      <c r="BD259" t="str">
        <f>BE60</f>
        <v>Jordanië</v>
      </c>
      <c r="BE259" s="90" t="str">
        <f>BE54</f>
        <v>Noorwegen</v>
      </c>
      <c r="BF259" s="152" t="str">
        <f t="shared" si="155"/>
        <v>Qatar</v>
      </c>
      <c r="BG259" s="152"/>
    </row>
    <row r="260" spans="1:59" s="90" customFormat="1" ht="14.25" customHeight="1" x14ac:dyDescent="0.2">
      <c r="A260" s="127"/>
      <c r="B260"/>
      <c r="C260" s="134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/>
      <c r="R260"/>
      <c r="S260"/>
      <c r="T260"/>
      <c r="U260"/>
      <c r="V260"/>
      <c r="W260"/>
      <c r="X260" s="66"/>
      <c r="Y260" s="4"/>
      <c r="Z260" s="4"/>
      <c r="AA260" s="4"/>
      <c r="AB260" s="4"/>
      <c r="AC260" s="4"/>
      <c r="AD260" s="4"/>
      <c r="AE260" s="4"/>
      <c r="AF260" s="4"/>
      <c r="AG260"/>
      <c r="AH260"/>
      <c r="AI260"/>
      <c r="AJ260"/>
      <c r="AK260"/>
      <c r="AL260"/>
      <c r="AM260"/>
      <c r="AN260"/>
      <c r="AO260" s="148">
        <f t="shared" si="152"/>
        <v>8.9267000000000003</v>
      </c>
      <c r="AP260" s="195">
        <v>147</v>
      </c>
      <c r="AQ260" s="195" t="s">
        <v>528</v>
      </c>
      <c r="AR260" s="195" t="s">
        <v>519</v>
      </c>
      <c r="AS260" s="195" t="s">
        <v>529</v>
      </c>
      <c r="AT260" s="195" t="s">
        <v>527</v>
      </c>
      <c r="AU260" s="195" t="s">
        <v>521</v>
      </c>
      <c r="AV260" s="195" t="s">
        <v>522</v>
      </c>
      <c r="AW260" s="195" t="s">
        <v>525</v>
      </c>
      <c r="AX260" s="195" t="s">
        <v>526</v>
      </c>
      <c r="AZ260"/>
      <c r="BA260"/>
      <c r="BB260"/>
      <c r="BC260"/>
      <c r="BE260" s="90" t="str">
        <f>BE57</f>
        <v>Argentinië</v>
      </c>
      <c r="BF260" s="152" t="str">
        <f t="shared" si="155"/>
        <v>Zwitserland</v>
      </c>
      <c r="BG260" s="152"/>
    </row>
    <row r="261" spans="1:59" s="90" customFormat="1" ht="14.25" customHeight="1" x14ac:dyDescent="0.2">
      <c r="A261" s="127"/>
      <c r="B261"/>
      <c r="C261" s="134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/>
      <c r="R261"/>
      <c r="S261"/>
      <c r="T261"/>
      <c r="U261"/>
      <c r="V261"/>
      <c r="W261"/>
      <c r="X261" s="66"/>
      <c r="Y261" s="4"/>
      <c r="Z261" s="4"/>
      <c r="AA261" s="4"/>
      <c r="AB261" s="4"/>
      <c r="AC261" s="4"/>
      <c r="AD261" s="4"/>
      <c r="AE261" s="4"/>
      <c r="AF261" s="4"/>
      <c r="AG261"/>
      <c r="AH261"/>
      <c r="AI261"/>
      <c r="AJ261"/>
      <c r="AK261"/>
      <c r="AL261"/>
      <c r="AM261"/>
      <c r="AN261"/>
      <c r="AO261" s="148">
        <f t="shared" si="152"/>
        <v>8.9249000000000009</v>
      </c>
      <c r="AP261" s="195">
        <v>148</v>
      </c>
      <c r="AQ261" s="195" t="s">
        <v>528</v>
      </c>
      <c r="AR261" s="195" t="s">
        <v>520</v>
      </c>
      <c r="AS261" s="195" t="s">
        <v>529</v>
      </c>
      <c r="AT261" s="195" t="s">
        <v>527</v>
      </c>
      <c r="AU261" s="195" t="s">
        <v>519</v>
      </c>
      <c r="AV261" s="195" t="s">
        <v>522</v>
      </c>
      <c r="AW261" s="195" t="s">
        <v>525</v>
      </c>
      <c r="AX261" s="195" t="s">
        <v>521</v>
      </c>
      <c r="AZ261"/>
      <c r="BA261"/>
      <c r="BB261"/>
      <c r="BC261"/>
      <c r="BE261" s="90" t="str">
        <f>BE58</f>
        <v>Algerije</v>
      </c>
      <c r="BF261" s="100" t="str">
        <f t="shared" si="155"/>
        <v>Bosnië-Herzegovina</v>
      </c>
      <c r="BG261" s="152"/>
    </row>
    <row r="262" spans="1:59" s="90" customFormat="1" ht="14.25" customHeight="1" x14ac:dyDescent="0.2">
      <c r="A262" s="127"/>
      <c r="B262"/>
      <c r="C262" s="134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/>
      <c r="R262"/>
      <c r="S262"/>
      <c r="T262"/>
      <c r="U262"/>
      <c r="V262"/>
      <c r="W262"/>
      <c r="X262" s="66"/>
      <c r="Y262" s="4"/>
      <c r="Z262" s="4"/>
      <c r="AA262" s="4"/>
      <c r="AB262" s="4"/>
      <c r="AC262" s="4"/>
      <c r="AD262" s="4"/>
      <c r="AE262" s="4"/>
      <c r="AF262" s="4"/>
      <c r="AG262"/>
      <c r="AH262"/>
      <c r="AI262"/>
      <c r="AJ262"/>
      <c r="AK262"/>
      <c r="AL262"/>
      <c r="AM262"/>
      <c r="AN262"/>
      <c r="AO262" s="148">
        <f t="shared" si="152"/>
        <v>8.9262000000000015</v>
      </c>
      <c r="AP262" s="195">
        <v>149</v>
      </c>
      <c r="AQ262" s="195" t="s">
        <v>528</v>
      </c>
      <c r="AR262" s="195" t="s">
        <v>520</v>
      </c>
      <c r="AS262" s="195" t="s">
        <v>529</v>
      </c>
      <c r="AT262" s="195" t="s">
        <v>527</v>
      </c>
      <c r="AU262" s="195" t="s">
        <v>519</v>
      </c>
      <c r="AV262" s="195" t="s">
        <v>522</v>
      </c>
      <c r="AW262" s="195" t="s">
        <v>521</v>
      </c>
      <c r="AX262" s="195" t="s">
        <v>526</v>
      </c>
      <c r="AZ262"/>
      <c r="BA262"/>
      <c r="BB262"/>
      <c r="BC262"/>
      <c r="BE262" s="90" t="str">
        <f>BE59</f>
        <v>Oostenrijk</v>
      </c>
      <c r="BF262" s="152" t="str">
        <f>BE21</f>
        <v>Verenigde Staten</v>
      </c>
      <c r="BG262" s="152"/>
    </row>
    <row r="263" spans="1:59" s="90" customFormat="1" ht="14.25" customHeight="1" x14ac:dyDescent="0.2">
      <c r="A263" s="127"/>
      <c r="B263"/>
      <c r="C263" s="134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/>
      <c r="R263"/>
      <c r="S263"/>
      <c r="T263"/>
      <c r="U263"/>
      <c r="V263"/>
      <c r="W263"/>
      <c r="X263" s="66"/>
      <c r="Y263" s="4"/>
      <c r="Z263" s="4"/>
      <c r="AA263" s="4"/>
      <c r="AB263" s="4"/>
      <c r="AC263" s="4"/>
      <c r="AD263" s="4"/>
      <c r="AE263" s="4"/>
      <c r="AF263" s="4"/>
      <c r="AG263"/>
      <c r="AH263"/>
      <c r="AI263"/>
      <c r="AJ263"/>
      <c r="AK263"/>
      <c r="AL263"/>
      <c r="AM263"/>
      <c r="AN263"/>
      <c r="AO263" s="148">
        <f t="shared" si="152"/>
        <v>8.9297000000000004</v>
      </c>
      <c r="AP263" s="195">
        <v>150</v>
      </c>
      <c r="AQ263" s="195" t="s">
        <v>528</v>
      </c>
      <c r="AR263" s="195" t="s">
        <v>519</v>
      </c>
      <c r="AS263" s="195" t="s">
        <v>529</v>
      </c>
      <c r="AT263" s="195" t="s">
        <v>527</v>
      </c>
      <c r="AU263" s="195" t="s">
        <v>523</v>
      </c>
      <c r="AV263" s="195" t="s">
        <v>522</v>
      </c>
      <c r="AW263" s="195" t="s">
        <v>525</v>
      </c>
      <c r="AX263" s="195" t="s">
        <v>526</v>
      </c>
      <c r="AZ263"/>
      <c r="BA263"/>
      <c r="BB263"/>
      <c r="BC263"/>
      <c r="BE263" s="90" t="str">
        <f>BE60</f>
        <v>Jordanië</v>
      </c>
      <c r="BF263" s="152" t="str">
        <f>BE22</f>
        <v>Paraguay</v>
      </c>
      <c r="BG263" s="152"/>
    </row>
    <row r="264" spans="1:59" s="90" customFormat="1" ht="14.25" customHeight="1" x14ac:dyDescent="0.2">
      <c r="A264" s="127"/>
      <c r="B264"/>
      <c r="C264" s="13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/>
      <c r="R264"/>
      <c r="S264"/>
      <c r="T264"/>
      <c r="U264"/>
      <c r="V264"/>
      <c r="W264"/>
      <c r="X264" s="66"/>
      <c r="Y264" s="4"/>
      <c r="Z264" s="4"/>
      <c r="AA264" s="4"/>
      <c r="AB264" s="4"/>
      <c r="AC264" s="4"/>
      <c r="AD264" s="4"/>
      <c r="AE264" s="4"/>
      <c r="AF264" s="4"/>
      <c r="AG264"/>
      <c r="AH264"/>
      <c r="AI264"/>
      <c r="AJ264"/>
      <c r="AK264"/>
      <c r="AL264"/>
      <c r="AM264"/>
      <c r="AN264"/>
      <c r="AO264" s="148">
        <f t="shared" si="152"/>
        <v>8.9279000000000011</v>
      </c>
      <c r="AP264" s="195">
        <v>151</v>
      </c>
      <c r="AQ264" s="195" t="s">
        <v>528</v>
      </c>
      <c r="AR264" s="195" t="s">
        <v>520</v>
      </c>
      <c r="AS264" s="195" t="s">
        <v>529</v>
      </c>
      <c r="AT264" s="195" t="s">
        <v>527</v>
      </c>
      <c r="AU264" s="195" t="s">
        <v>523</v>
      </c>
      <c r="AV264" s="195" t="s">
        <v>522</v>
      </c>
      <c r="AW264" s="195" t="s">
        <v>525</v>
      </c>
      <c r="AX264" s="195" t="s">
        <v>519</v>
      </c>
      <c r="AZ264"/>
      <c r="BA264"/>
      <c r="BB264"/>
      <c r="BC264"/>
      <c r="BD264"/>
      <c r="BE264"/>
      <c r="BF264" s="152" t="str">
        <f>BE23</f>
        <v>Australië</v>
      </c>
      <c r="BG264" s="152"/>
    </row>
    <row r="265" spans="1:59" s="90" customFormat="1" ht="14.25" customHeight="1" x14ac:dyDescent="0.2">
      <c r="A265" s="127"/>
      <c r="B265"/>
      <c r="C265" s="134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/>
      <c r="R265"/>
      <c r="S265"/>
      <c r="T265"/>
      <c r="U265"/>
      <c r="V265"/>
      <c r="W265"/>
      <c r="X265" s="66"/>
      <c r="Y265" s="4"/>
      <c r="Z265" s="4"/>
      <c r="AA265" s="4"/>
      <c r="AB265" s="4"/>
      <c r="AC265" s="4"/>
      <c r="AD265" s="4"/>
      <c r="AE265" s="4"/>
      <c r="AF265" s="4"/>
      <c r="AG265"/>
      <c r="AH265"/>
      <c r="AI265"/>
      <c r="AJ265"/>
      <c r="AK265"/>
      <c r="AL265"/>
      <c r="AM265"/>
      <c r="AN265"/>
      <c r="AO265" s="148">
        <f t="shared" si="152"/>
        <v>8.9292000000000016</v>
      </c>
      <c r="AP265" s="195">
        <v>152</v>
      </c>
      <c r="AQ265" s="195" t="s">
        <v>528</v>
      </c>
      <c r="AR265" s="195" t="s">
        <v>520</v>
      </c>
      <c r="AS265" s="195" t="s">
        <v>529</v>
      </c>
      <c r="AT265" s="195" t="s">
        <v>527</v>
      </c>
      <c r="AU265" s="195" t="s">
        <v>523</v>
      </c>
      <c r="AV265" s="195" t="s">
        <v>522</v>
      </c>
      <c r="AW265" s="195" t="s">
        <v>519</v>
      </c>
      <c r="AX265" s="195" t="s">
        <v>526</v>
      </c>
      <c r="AZ265"/>
      <c r="BA265"/>
      <c r="BB265"/>
      <c r="BC265"/>
      <c r="BD265" s="91" t="s">
        <v>699</v>
      </c>
      <c r="BE265" s="212" t="s">
        <v>708</v>
      </c>
      <c r="BF265" s="152" t="str">
        <f>BE24</f>
        <v>Turkije</v>
      </c>
      <c r="BG265" s="152"/>
    </row>
    <row r="266" spans="1:59" s="90" customFormat="1" ht="14.25" customHeight="1" x14ac:dyDescent="0.2">
      <c r="A266" s="127"/>
      <c r="B266"/>
      <c r="C266" s="134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/>
      <c r="R266"/>
      <c r="S266"/>
      <c r="T266"/>
      <c r="U266"/>
      <c r="V266"/>
      <c r="W266"/>
      <c r="X266" s="66"/>
      <c r="Y266" s="4"/>
      <c r="Z266" s="4"/>
      <c r="AA266" s="4"/>
      <c r="AB266" s="4"/>
      <c r="AC266" s="4"/>
      <c r="AD266" s="4"/>
      <c r="AE266" s="4"/>
      <c r="AF266" s="4"/>
      <c r="AG266"/>
      <c r="AH266"/>
      <c r="AI266"/>
      <c r="AJ266"/>
      <c r="AK266"/>
      <c r="AL266"/>
      <c r="AM266"/>
      <c r="AN266"/>
      <c r="AO266" s="148">
        <f t="shared" si="152"/>
        <v>8.9282000000000021</v>
      </c>
      <c r="AP266" s="195">
        <v>153</v>
      </c>
      <c r="AQ266" s="195" t="s">
        <v>528</v>
      </c>
      <c r="AR266" s="195" t="s">
        <v>519</v>
      </c>
      <c r="AS266" s="195" t="s">
        <v>529</v>
      </c>
      <c r="AT266" s="195" t="s">
        <v>527</v>
      </c>
      <c r="AU266" s="195" t="s">
        <v>523</v>
      </c>
      <c r="AV266" s="195" t="s">
        <v>522</v>
      </c>
      <c r="AW266" s="195" t="s">
        <v>525</v>
      </c>
      <c r="AX266" s="195" t="s">
        <v>521</v>
      </c>
      <c r="AZ266"/>
      <c r="BA266"/>
      <c r="BB266"/>
      <c r="BC266"/>
      <c r="BD266" t="str">
        <f>BE9</f>
        <v>Canada</v>
      </c>
      <c r="BE266" t="str">
        <f>BE9</f>
        <v>Canada</v>
      </c>
      <c r="BF266" s="152" t="str">
        <f>BE27</f>
        <v>Duitsland</v>
      </c>
      <c r="BG266" s="152"/>
    </row>
    <row r="267" spans="1:59" s="90" customFormat="1" ht="14.25" customHeight="1" x14ac:dyDescent="0.2">
      <c r="A267" s="127"/>
      <c r="B267"/>
      <c r="C267" s="134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/>
      <c r="R267"/>
      <c r="S267"/>
      <c r="T267"/>
      <c r="U267"/>
      <c r="V267"/>
      <c r="W267"/>
      <c r="X267" s="66"/>
      <c r="Y267" s="4"/>
      <c r="Z267" s="4"/>
      <c r="AA267" s="4"/>
      <c r="AB267" s="4"/>
      <c r="AC267" s="4"/>
      <c r="AD267" s="4"/>
      <c r="AE267" s="4"/>
      <c r="AF267" s="4"/>
      <c r="AG267"/>
      <c r="AH267"/>
      <c r="AI267"/>
      <c r="AJ267"/>
      <c r="AK267"/>
      <c r="AL267"/>
      <c r="AM267"/>
      <c r="AN267"/>
      <c r="AO267" s="148">
        <f t="shared" si="152"/>
        <v>8.9295000000000009</v>
      </c>
      <c r="AP267" s="195">
        <v>154</v>
      </c>
      <c r="AQ267" s="195" t="s">
        <v>528</v>
      </c>
      <c r="AR267" s="195" t="s">
        <v>519</v>
      </c>
      <c r="AS267" s="195" t="s">
        <v>529</v>
      </c>
      <c r="AT267" s="195" t="s">
        <v>527</v>
      </c>
      <c r="AU267" s="195" t="s">
        <v>523</v>
      </c>
      <c r="AV267" s="195" t="s">
        <v>522</v>
      </c>
      <c r="AW267" s="195" t="s">
        <v>521</v>
      </c>
      <c r="AX267" s="195" t="s">
        <v>526</v>
      </c>
      <c r="AZ267"/>
      <c r="BA267"/>
      <c r="BB267"/>
      <c r="BC267"/>
      <c r="BD267" t="str">
        <f>BE10</f>
        <v>Qatar</v>
      </c>
      <c r="BE267" t="str">
        <f>BE10</f>
        <v>Qatar</v>
      </c>
      <c r="BF267" s="152" t="str">
        <f>BE28</f>
        <v>Curaçao</v>
      </c>
      <c r="BG267" s="152"/>
    </row>
    <row r="268" spans="1:59" s="90" customFormat="1" ht="14.25" customHeight="1" x14ac:dyDescent="0.2">
      <c r="A268" s="127"/>
      <c r="B268"/>
      <c r="C268" s="134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/>
      <c r="R268"/>
      <c r="S268"/>
      <c r="T268"/>
      <c r="U268"/>
      <c r="V268"/>
      <c r="W268"/>
      <c r="X268" s="66"/>
      <c r="Y268" s="4"/>
      <c r="Z268" s="4"/>
      <c r="AA268" s="4"/>
      <c r="AB268" s="4"/>
      <c r="AC268" s="4"/>
      <c r="AD268" s="4"/>
      <c r="AE268" s="4"/>
      <c r="AF268" s="4"/>
      <c r="AG268"/>
      <c r="AH268"/>
      <c r="AI268"/>
      <c r="AJ268"/>
      <c r="AK268"/>
      <c r="AL268"/>
      <c r="AM268"/>
      <c r="AN268"/>
      <c r="AO268" s="148">
        <f t="shared" si="152"/>
        <v>8.9277000000000015</v>
      </c>
      <c r="AP268" s="195">
        <v>155</v>
      </c>
      <c r="AQ268" s="195" t="s">
        <v>528</v>
      </c>
      <c r="AR268" s="195" t="s">
        <v>520</v>
      </c>
      <c r="AS268" s="195" t="s">
        <v>529</v>
      </c>
      <c r="AT268" s="195" t="s">
        <v>527</v>
      </c>
      <c r="AU268" s="195" t="s">
        <v>523</v>
      </c>
      <c r="AV268" s="195" t="s">
        <v>522</v>
      </c>
      <c r="AW268" s="195" t="s">
        <v>519</v>
      </c>
      <c r="AX268" s="195" t="s">
        <v>521</v>
      </c>
      <c r="AZ268"/>
      <c r="BA268"/>
      <c r="BB268"/>
      <c r="BC268"/>
      <c r="BD268" t="str">
        <f>BE11</f>
        <v>Zwitserland</v>
      </c>
      <c r="BE268" t="str">
        <f>BE11</f>
        <v>Zwitserland</v>
      </c>
      <c r="BF268" s="152" t="str">
        <f>BE29</f>
        <v>Ivoorkust</v>
      </c>
      <c r="BG268" s="152"/>
    </row>
    <row r="269" spans="1:59" s="90" customFormat="1" ht="14.25" customHeight="1" x14ac:dyDescent="0.2">
      <c r="A269" s="127"/>
      <c r="B269"/>
      <c r="C269" s="134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/>
      <c r="R269"/>
      <c r="S269"/>
      <c r="T269"/>
      <c r="U269"/>
      <c r="V269"/>
      <c r="W269"/>
      <c r="X269" s="66"/>
      <c r="Y269" s="4"/>
      <c r="Z269" s="4"/>
      <c r="AA269" s="4"/>
      <c r="AB269" s="4"/>
      <c r="AC269" s="4"/>
      <c r="AD269" s="4"/>
      <c r="AE269" s="4"/>
      <c r="AF269" s="4"/>
      <c r="AG269"/>
      <c r="AH269"/>
      <c r="AI269"/>
      <c r="AJ269"/>
      <c r="AK269"/>
      <c r="AL269"/>
      <c r="AM269"/>
      <c r="AN269"/>
      <c r="AO269" s="148">
        <f t="shared" si="152"/>
        <v>8.9265000000000008</v>
      </c>
      <c r="AP269" s="195">
        <v>156</v>
      </c>
      <c r="AQ269" s="195" t="s">
        <v>528</v>
      </c>
      <c r="AR269" s="195" t="s">
        <v>524</v>
      </c>
      <c r="AS269" s="195" t="s">
        <v>529</v>
      </c>
      <c r="AT269" s="195" t="s">
        <v>527</v>
      </c>
      <c r="AU269" s="195" t="s">
        <v>519</v>
      </c>
      <c r="AV269" s="195" t="s">
        <v>522</v>
      </c>
      <c r="AW269" s="195" t="s">
        <v>525</v>
      </c>
      <c r="AX269" s="195" t="s">
        <v>526</v>
      </c>
      <c r="AZ269"/>
      <c r="BA269"/>
      <c r="BB269"/>
      <c r="BC269"/>
      <c r="BD269" t="str">
        <f>BE12</f>
        <v>Bosnië-Herzegovina</v>
      </c>
      <c r="BE269" t="str">
        <f>BE12</f>
        <v>Bosnië-Herzegovina</v>
      </c>
      <c r="BF269" s="152" t="str">
        <f>BE30</f>
        <v>Ecuador</v>
      </c>
      <c r="BG269" s="152"/>
    </row>
    <row r="270" spans="1:59" s="90" customFormat="1" ht="14.25" customHeight="1" x14ac:dyDescent="0.2">
      <c r="A270" s="127"/>
      <c r="B270"/>
      <c r="C270" s="134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/>
      <c r="R270"/>
      <c r="S270"/>
      <c r="T270"/>
      <c r="U270"/>
      <c r="V270"/>
      <c r="W270"/>
      <c r="X270" s="66"/>
      <c r="Y270" s="4"/>
      <c r="Z270" s="4"/>
      <c r="AA270" s="4"/>
      <c r="AB270" s="4"/>
      <c r="AC270" s="4"/>
      <c r="AD270" s="4"/>
      <c r="AE270" s="4"/>
      <c r="AF270" s="4"/>
      <c r="AG270"/>
      <c r="AH270"/>
      <c r="AI270"/>
      <c r="AJ270"/>
      <c r="AK270"/>
      <c r="AL270"/>
      <c r="AM270"/>
      <c r="AN270"/>
      <c r="AO270" s="148">
        <f t="shared" si="152"/>
        <v>8.9247000000000014</v>
      </c>
      <c r="AP270" s="195">
        <v>157</v>
      </c>
      <c r="AQ270" s="195" t="s">
        <v>528</v>
      </c>
      <c r="AR270" s="195" t="s">
        <v>524</v>
      </c>
      <c r="AS270" s="195" t="s">
        <v>529</v>
      </c>
      <c r="AT270" s="195" t="s">
        <v>527</v>
      </c>
      <c r="AU270" s="195" t="s">
        <v>520</v>
      </c>
      <c r="AV270" s="195" t="s">
        <v>522</v>
      </c>
      <c r="AW270" s="195" t="s">
        <v>525</v>
      </c>
      <c r="AX270" s="195" t="s">
        <v>519</v>
      </c>
      <c r="AZ270"/>
      <c r="BA270"/>
      <c r="BB270"/>
      <c r="BC270"/>
      <c r="BD270" t="str">
        <f>BE27</f>
        <v>Duitsland</v>
      </c>
      <c r="BE270" t="str">
        <f t="shared" ref="BE270:BE273" si="156">BE21</f>
        <v>Verenigde Staten</v>
      </c>
      <c r="BF270" s="152" t="str">
        <f>BE33</f>
        <v>Nederland</v>
      </c>
      <c r="BG270" s="152"/>
    </row>
    <row r="271" spans="1:59" s="90" customFormat="1" ht="14.25" customHeight="1" x14ac:dyDescent="0.2">
      <c r="A271" s="127"/>
      <c r="B271"/>
      <c r="C271" s="134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/>
      <c r="R271"/>
      <c r="S271"/>
      <c r="T271"/>
      <c r="U271"/>
      <c r="V271"/>
      <c r="W271"/>
      <c r="X271" s="66"/>
      <c r="Y271" s="4"/>
      <c r="Z271" s="4"/>
      <c r="AA271" s="4"/>
      <c r="AB271" s="4"/>
      <c r="AC271" s="4"/>
      <c r="AD271" s="4"/>
      <c r="AE271" s="4"/>
      <c r="AF271" s="4"/>
      <c r="AG271"/>
      <c r="AH271"/>
      <c r="AI271"/>
      <c r="AJ271"/>
      <c r="AK271"/>
      <c r="AL271"/>
      <c r="AM271"/>
      <c r="AN271"/>
      <c r="AO271" s="148">
        <f t="shared" si="152"/>
        <v>8.9260000000000002</v>
      </c>
      <c r="AP271" s="195">
        <v>158</v>
      </c>
      <c r="AQ271" s="195" t="s">
        <v>528</v>
      </c>
      <c r="AR271" s="195" t="s">
        <v>524</v>
      </c>
      <c r="AS271" s="195" t="s">
        <v>529</v>
      </c>
      <c r="AT271" s="195" t="s">
        <v>527</v>
      </c>
      <c r="AU271" s="195" t="s">
        <v>520</v>
      </c>
      <c r="AV271" s="195" t="s">
        <v>522</v>
      </c>
      <c r="AW271" s="195" t="s">
        <v>519</v>
      </c>
      <c r="AX271" s="195" t="s">
        <v>526</v>
      </c>
      <c r="AZ271"/>
      <c r="BA271"/>
      <c r="BB271"/>
      <c r="BC271"/>
      <c r="BD271" t="str">
        <f>BE28</f>
        <v>Curaçao</v>
      </c>
      <c r="BE271" t="str">
        <f t="shared" si="156"/>
        <v>Paraguay</v>
      </c>
      <c r="BF271" s="152" t="str">
        <f>BE34</f>
        <v>Japan</v>
      </c>
      <c r="BG271" s="152"/>
    </row>
    <row r="272" spans="1:59" s="90" customFormat="1" ht="14.25" customHeight="1" x14ac:dyDescent="0.2">
      <c r="A272" s="127"/>
      <c r="B272"/>
      <c r="C272" s="134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/>
      <c r="R272"/>
      <c r="S272"/>
      <c r="T272"/>
      <c r="U272"/>
      <c r="V272"/>
      <c r="W272"/>
      <c r="X272" s="66"/>
      <c r="Y272" s="4"/>
      <c r="Z272" s="4"/>
      <c r="AA272" s="4"/>
      <c r="AB272" s="4"/>
      <c r="AC272" s="4"/>
      <c r="AD272" s="4"/>
      <c r="AE272" s="4"/>
      <c r="AF272" s="4"/>
      <c r="AG272"/>
      <c r="AH272"/>
      <c r="AI272"/>
      <c r="AJ272"/>
      <c r="AK272"/>
      <c r="AL272"/>
      <c r="AM272"/>
      <c r="AN272"/>
      <c r="AO272" s="148">
        <f t="shared" si="152"/>
        <v>8.9250000000000007</v>
      </c>
      <c r="AP272" s="195">
        <v>159</v>
      </c>
      <c r="AQ272" s="195" t="s">
        <v>528</v>
      </c>
      <c r="AR272" s="195" t="s">
        <v>524</v>
      </c>
      <c r="AS272" s="195" t="s">
        <v>529</v>
      </c>
      <c r="AT272" s="195" t="s">
        <v>527</v>
      </c>
      <c r="AU272" s="195" t="s">
        <v>519</v>
      </c>
      <c r="AV272" s="195" t="s">
        <v>522</v>
      </c>
      <c r="AW272" s="195" t="s">
        <v>525</v>
      </c>
      <c r="AX272" s="195" t="s">
        <v>521</v>
      </c>
      <c r="AZ272"/>
      <c r="BA272"/>
      <c r="BB272"/>
      <c r="BC272"/>
      <c r="BD272" t="str">
        <f>BE29</f>
        <v>Ivoorkust</v>
      </c>
      <c r="BE272" t="str">
        <f t="shared" si="156"/>
        <v>Australië</v>
      </c>
      <c r="BF272" s="152" t="str">
        <f>BE35</f>
        <v>Tunesië</v>
      </c>
      <c r="BG272" s="152"/>
    </row>
    <row r="273" spans="1:59" s="90" customFormat="1" ht="14.25" customHeight="1" x14ac:dyDescent="0.2">
      <c r="A273" s="127"/>
      <c r="B273"/>
      <c r="C273" s="134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/>
      <c r="R273"/>
      <c r="S273"/>
      <c r="T273"/>
      <c r="U273"/>
      <c r="V273"/>
      <c r="W273"/>
      <c r="X273" s="66"/>
      <c r="Y273" s="4"/>
      <c r="Z273" s="4"/>
      <c r="AA273" s="4"/>
      <c r="AB273" s="4"/>
      <c r="AC273" s="4"/>
      <c r="AD273" s="4"/>
      <c r="AE273" s="4"/>
      <c r="AF273" s="4"/>
      <c r="AG273"/>
      <c r="AH273"/>
      <c r="AI273"/>
      <c r="AJ273"/>
      <c r="AK273"/>
      <c r="AL273"/>
      <c r="AM273"/>
      <c r="AN273"/>
      <c r="AO273" s="148">
        <f t="shared" si="152"/>
        <v>8.9263000000000012</v>
      </c>
      <c r="AP273" s="195">
        <v>160</v>
      </c>
      <c r="AQ273" s="195" t="s">
        <v>528</v>
      </c>
      <c r="AR273" s="195" t="s">
        <v>524</v>
      </c>
      <c r="AS273" s="195" t="s">
        <v>529</v>
      </c>
      <c r="AT273" s="195" t="s">
        <v>527</v>
      </c>
      <c r="AU273" s="195" t="s">
        <v>519</v>
      </c>
      <c r="AV273" s="195" t="s">
        <v>522</v>
      </c>
      <c r="AW273" s="195" t="s">
        <v>521</v>
      </c>
      <c r="AX273" s="195" t="s">
        <v>526</v>
      </c>
      <c r="AZ273"/>
      <c r="BA273"/>
      <c r="BB273"/>
      <c r="BC273"/>
      <c r="BD273" t="str">
        <f>BE30</f>
        <v>Ecuador</v>
      </c>
      <c r="BE273" t="str">
        <f t="shared" si="156"/>
        <v>Turkije</v>
      </c>
      <c r="BF273" s="152" t="str">
        <f>BE36</f>
        <v>Zweden</v>
      </c>
      <c r="BG273" s="152"/>
    </row>
    <row r="274" spans="1:59" s="90" customFormat="1" ht="14.25" customHeight="1" x14ac:dyDescent="0.2">
      <c r="A274" s="127"/>
      <c r="B274"/>
      <c r="C274" s="13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/>
      <c r="R274"/>
      <c r="S274"/>
      <c r="T274"/>
      <c r="U274"/>
      <c r="V274"/>
      <c r="W274"/>
      <c r="X274" s="66"/>
      <c r="Y274" s="4"/>
      <c r="Z274" s="4"/>
      <c r="AA274" s="4"/>
      <c r="AB274" s="4"/>
      <c r="AC274" s="4"/>
      <c r="AD274" s="4"/>
      <c r="AE274" s="4"/>
      <c r="AF274" s="4"/>
      <c r="AG274"/>
      <c r="AH274"/>
      <c r="AI274"/>
      <c r="AJ274"/>
      <c r="AK274"/>
      <c r="AL274"/>
      <c r="AM274"/>
      <c r="AN274"/>
      <c r="AO274" s="148">
        <f t="shared" si="152"/>
        <v>8.9245000000000001</v>
      </c>
      <c r="AP274" s="195">
        <v>161</v>
      </c>
      <c r="AQ274" s="195" t="s">
        <v>528</v>
      </c>
      <c r="AR274" s="195" t="s">
        <v>524</v>
      </c>
      <c r="AS274" s="195" t="s">
        <v>529</v>
      </c>
      <c r="AT274" s="195" t="s">
        <v>527</v>
      </c>
      <c r="AU274" s="195" t="s">
        <v>520</v>
      </c>
      <c r="AV274" s="195" t="s">
        <v>522</v>
      </c>
      <c r="AW274" s="195" t="s">
        <v>519</v>
      </c>
      <c r="AX274" s="195" t="s">
        <v>521</v>
      </c>
      <c r="AZ274"/>
      <c r="BA274"/>
      <c r="BB274"/>
      <c r="BC274"/>
      <c r="BD274" t="str">
        <f>BE33</f>
        <v>Nederland</v>
      </c>
      <c r="BE274" s="90" t="str">
        <f>BE27</f>
        <v>Duitsland</v>
      </c>
      <c r="BF274" s="152" t="str">
        <f>BE39</f>
        <v>België</v>
      </c>
      <c r="BG274" s="152"/>
    </row>
    <row r="275" spans="1:59" s="90" customFormat="1" ht="14.25" customHeight="1" x14ac:dyDescent="0.2">
      <c r="A275" s="127"/>
      <c r="B275"/>
      <c r="C275" s="134"/>
      <c r="D275"/>
      <c r="E275"/>
      <c r="F275"/>
      <c r="G275"/>
      <c r="H275"/>
      <c r="I275"/>
      <c r="J275"/>
      <c r="K275"/>
      <c r="L275"/>
      <c r="M275"/>
      <c r="N275"/>
      <c r="O275"/>
      <c r="P275"/>
      <c r="Q275"/>
      <c r="R275"/>
      <c r="S275"/>
      <c r="T275"/>
      <c r="U275"/>
      <c r="V275"/>
      <c r="W275"/>
      <c r="X275" s="66"/>
      <c r="Y275" s="4"/>
      <c r="Z275" s="4"/>
      <c r="AA275" s="4"/>
      <c r="AB275" s="4"/>
      <c r="AC275" s="4"/>
      <c r="AD275" s="4"/>
      <c r="AE275" s="4"/>
      <c r="AF275" s="4"/>
      <c r="AG275"/>
      <c r="AH275"/>
      <c r="AI275"/>
      <c r="AJ275"/>
      <c r="AK275"/>
      <c r="AL275"/>
      <c r="AM275"/>
      <c r="AN275"/>
      <c r="AO275" s="148">
        <f t="shared" si="152"/>
        <v>8.9280000000000008</v>
      </c>
      <c r="AP275" s="195">
        <v>162</v>
      </c>
      <c r="AQ275" s="195" t="s">
        <v>528</v>
      </c>
      <c r="AR275" s="195" t="s">
        <v>524</v>
      </c>
      <c r="AS275" s="195" t="s">
        <v>529</v>
      </c>
      <c r="AT275" s="195" t="s">
        <v>527</v>
      </c>
      <c r="AU275" s="195" t="s">
        <v>523</v>
      </c>
      <c r="AV275" s="195" t="s">
        <v>522</v>
      </c>
      <c r="AW275" s="195" t="s">
        <v>525</v>
      </c>
      <c r="AX275" s="195" t="s">
        <v>519</v>
      </c>
      <c r="AZ275"/>
      <c r="BA275"/>
      <c r="BB275"/>
      <c r="BC275"/>
      <c r="BD275" t="str">
        <f>BE34</f>
        <v>Japan</v>
      </c>
      <c r="BE275" s="90" t="str">
        <f>BE28</f>
        <v>Curaçao</v>
      </c>
      <c r="BF275" s="152" t="str">
        <f>BE40</f>
        <v>Egypte</v>
      </c>
      <c r="BG275" s="152"/>
    </row>
    <row r="276" spans="1:59" s="90" customFormat="1" ht="14.25" customHeight="1" x14ac:dyDescent="0.2">
      <c r="A276" s="127"/>
      <c r="B276"/>
      <c r="C276" s="134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/>
      <c r="R276"/>
      <c r="S276"/>
      <c r="T276"/>
      <c r="U276"/>
      <c r="V276"/>
      <c r="W276"/>
      <c r="X276" s="66"/>
      <c r="Y276" s="4"/>
      <c r="Z276" s="4"/>
      <c r="AA276" s="4"/>
      <c r="AB276" s="4"/>
      <c r="AC276" s="4"/>
      <c r="AD276" s="4"/>
      <c r="AE276" s="4"/>
      <c r="AF276" s="4"/>
      <c r="AG276"/>
      <c r="AH276"/>
      <c r="AI276"/>
      <c r="AJ276"/>
      <c r="AK276"/>
      <c r="AL276"/>
      <c r="AM276"/>
      <c r="AN276"/>
      <c r="AO276" s="148">
        <f t="shared" si="152"/>
        <v>8.9293000000000013</v>
      </c>
      <c r="AP276" s="195">
        <v>163</v>
      </c>
      <c r="AQ276" s="195" t="s">
        <v>528</v>
      </c>
      <c r="AR276" s="195" t="s">
        <v>524</v>
      </c>
      <c r="AS276" s="195" t="s">
        <v>529</v>
      </c>
      <c r="AT276" s="195" t="s">
        <v>527</v>
      </c>
      <c r="AU276" s="195" t="s">
        <v>523</v>
      </c>
      <c r="AV276" s="195" t="s">
        <v>522</v>
      </c>
      <c r="AW276" s="195" t="s">
        <v>519</v>
      </c>
      <c r="AX276" s="195" t="s">
        <v>526</v>
      </c>
      <c r="AZ276"/>
      <c r="BA276"/>
      <c r="BB276"/>
      <c r="BC276"/>
      <c r="BD276" t="str">
        <f>BE35</f>
        <v>Tunesië</v>
      </c>
      <c r="BE276" s="90" t="str">
        <f>BE29</f>
        <v>Ivoorkust</v>
      </c>
      <c r="BF276" s="152" t="str">
        <f t="shared" ref="BF276:BF277" si="157">BE41</f>
        <v>Iran</v>
      </c>
      <c r="BG276" s="152"/>
    </row>
    <row r="277" spans="1:59" s="90" customFormat="1" ht="14.25" customHeight="1" x14ac:dyDescent="0.2">
      <c r="A277" s="127"/>
      <c r="B277"/>
      <c r="C277" s="134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/>
      <c r="R277"/>
      <c r="S277"/>
      <c r="T277"/>
      <c r="U277"/>
      <c r="V277"/>
      <c r="W277"/>
      <c r="X277" s="66"/>
      <c r="Y277" s="4"/>
      <c r="Z277" s="4"/>
      <c r="AA277" s="4"/>
      <c r="AB277" s="4"/>
      <c r="AC277" s="4"/>
      <c r="AD277" s="4"/>
      <c r="AE277" s="4"/>
      <c r="AF277" s="4"/>
      <c r="AG277"/>
      <c r="AH277"/>
      <c r="AI277"/>
      <c r="AJ277"/>
      <c r="AK277"/>
      <c r="AL277"/>
      <c r="AM277"/>
      <c r="AN277"/>
      <c r="AO277" s="148">
        <f t="shared" si="152"/>
        <v>8.9275000000000002</v>
      </c>
      <c r="AP277" s="195">
        <v>164</v>
      </c>
      <c r="AQ277" s="195" t="s">
        <v>523</v>
      </c>
      <c r="AR277" s="195" t="s">
        <v>524</v>
      </c>
      <c r="AS277" s="195" t="s">
        <v>529</v>
      </c>
      <c r="AT277" s="195" t="s">
        <v>528</v>
      </c>
      <c r="AU277" s="195" t="s">
        <v>520</v>
      </c>
      <c r="AV277" s="195" t="s">
        <v>522</v>
      </c>
      <c r="AW277" s="195" t="s">
        <v>527</v>
      </c>
      <c r="AX277" s="195" t="s">
        <v>519</v>
      </c>
      <c r="AZ277"/>
      <c r="BA277"/>
      <c r="BB277"/>
      <c r="BC277"/>
      <c r="BD277" t="str">
        <f>BE36</f>
        <v>Zweden</v>
      </c>
      <c r="BE277" s="90" t="str">
        <f>BE30</f>
        <v>Ecuador</v>
      </c>
      <c r="BF277" s="152" t="str">
        <f t="shared" si="157"/>
        <v>Nieuw-Zeeland</v>
      </c>
      <c r="BG277" s="152"/>
    </row>
    <row r="278" spans="1:59" s="90" customFormat="1" ht="14.25" customHeight="1" x14ac:dyDescent="0.2">
      <c r="A278" s="127"/>
      <c r="B278"/>
      <c r="C278" s="134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/>
      <c r="R278"/>
      <c r="S278"/>
      <c r="T278"/>
      <c r="U278"/>
      <c r="V278"/>
      <c r="W278"/>
      <c r="X278" s="66"/>
      <c r="Y278" s="4"/>
      <c r="Z278" s="4"/>
      <c r="AA278" s="4"/>
      <c r="AB278" s="4"/>
      <c r="AC278" s="4"/>
      <c r="AD278" s="4"/>
      <c r="AE278" s="4"/>
      <c r="AF278" s="4"/>
      <c r="AG278"/>
      <c r="AH278"/>
      <c r="AI278"/>
      <c r="AJ278"/>
      <c r="AK278"/>
      <c r="AL278"/>
      <c r="AM278"/>
      <c r="AN278"/>
      <c r="AO278" s="148">
        <f t="shared" si="152"/>
        <v>8.9278000000000013</v>
      </c>
      <c r="AP278" s="195">
        <v>165</v>
      </c>
      <c r="AQ278" s="195" t="s">
        <v>528</v>
      </c>
      <c r="AR278" s="195" t="s">
        <v>524</v>
      </c>
      <c r="AS278" s="195" t="s">
        <v>529</v>
      </c>
      <c r="AT278" s="195" t="s">
        <v>527</v>
      </c>
      <c r="AU278" s="195" t="s">
        <v>523</v>
      </c>
      <c r="AV278" s="195" t="s">
        <v>522</v>
      </c>
      <c r="AW278" s="195" t="s">
        <v>519</v>
      </c>
      <c r="AX278" s="195" t="s">
        <v>521</v>
      </c>
      <c r="AZ278"/>
      <c r="BA278"/>
      <c r="BB278"/>
      <c r="BC278"/>
      <c r="BD278" t="str">
        <f>BE51</f>
        <v>Irak</v>
      </c>
      <c r="BE278" s="90" t="str">
        <f>BE33</f>
        <v>Nederland</v>
      </c>
      <c r="BF278" s="152" t="str">
        <f>BE45</f>
        <v>Spanje</v>
      </c>
      <c r="BG278" s="152"/>
    </row>
    <row r="279" spans="1:59" s="90" customFormat="1" ht="14.25" customHeight="1" x14ac:dyDescent="0.2">
      <c r="A279" s="127"/>
      <c r="B279"/>
      <c r="C279" s="134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/>
      <c r="R279"/>
      <c r="S279"/>
      <c r="T279"/>
      <c r="U279"/>
      <c r="V279"/>
      <c r="W279"/>
      <c r="X279" s="66"/>
      <c r="Y279" s="4"/>
      <c r="Z279" s="4"/>
      <c r="AA279" s="4"/>
      <c r="AB279" s="4"/>
      <c r="AC279" s="4"/>
      <c r="AD279" s="4"/>
      <c r="AE279" s="4"/>
      <c r="AF279" s="4"/>
      <c r="AG279"/>
      <c r="AH279"/>
      <c r="AI279"/>
      <c r="AJ279"/>
      <c r="AK279"/>
      <c r="AL279"/>
      <c r="AM279"/>
      <c r="AN279"/>
      <c r="AO279" s="148">
        <f t="shared" si="152"/>
        <v>8.9267000000000003</v>
      </c>
      <c r="AP279" s="195">
        <v>166</v>
      </c>
      <c r="AQ279" s="195" t="s">
        <v>523</v>
      </c>
      <c r="AR279" s="195" t="s">
        <v>520</v>
      </c>
      <c r="AS279" s="195" t="s">
        <v>521</v>
      </c>
      <c r="AT279" s="195" t="s">
        <v>522</v>
      </c>
      <c r="AU279" s="195" t="s">
        <v>530</v>
      </c>
      <c r="AV279" s="195" t="s">
        <v>524</v>
      </c>
      <c r="AW279" s="195" t="s">
        <v>525</v>
      </c>
      <c r="AX279" s="195" t="s">
        <v>526</v>
      </c>
      <c r="AZ279"/>
      <c r="BA279"/>
      <c r="BB279"/>
      <c r="BC279"/>
      <c r="BD279" t="str">
        <f>BE52</f>
        <v>Frankrijk</v>
      </c>
      <c r="BE279" s="90" t="str">
        <f>BE34</f>
        <v>Japan</v>
      </c>
      <c r="BF279" s="152" t="str">
        <f>BE46</f>
        <v>Kaapverdië</v>
      </c>
      <c r="BG279" s="152"/>
    </row>
    <row r="280" spans="1:59" s="90" customFormat="1" ht="14.25" customHeight="1" x14ac:dyDescent="0.2">
      <c r="A280" s="127"/>
      <c r="B280"/>
      <c r="C280" s="134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/>
      <c r="R280"/>
      <c r="S280"/>
      <c r="T280"/>
      <c r="U280"/>
      <c r="V280"/>
      <c r="W280"/>
      <c r="X280" s="66"/>
      <c r="Y280" s="4"/>
      <c r="Z280" s="4"/>
      <c r="AA280" s="4"/>
      <c r="AB280" s="4"/>
      <c r="AC280" s="4"/>
      <c r="AD280" s="4"/>
      <c r="AE280" s="4"/>
      <c r="AF280" s="4"/>
      <c r="AG280"/>
      <c r="AH280"/>
      <c r="AI280"/>
      <c r="AJ280"/>
      <c r="AK280"/>
      <c r="AL280"/>
      <c r="AM280"/>
      <c r="AN280"/>
      <c r="AO280" s="148">
        <f t="shared" si="152"/>
        <v>8.9263000000000012</v>
      </c>
      <c r="AP280" s="195">
        <v>167</v>
      </c>
      <c r="AQ280" s="195" t="s">
        <v>519</v>
      </c>
      <c r="AR280" s="195" t="s">
        <v>520</v>
      </c>
      <c r="AS280" s="195" t="s">
        <v>521</v>
      </c>
      <c r="AT280" s="195" t="s">
        <v>530</v>
      </c>
      <c r="AU280" s="195" t="s">
        <v>523</v>
      </c>
      <c r="AV280" s="195" t="s">
        <v>524</v>
      </c>
      <c r="AW280" s="195" t="s">
        <v>525</v>
      </c>
      <c r="AX280" s="195" t="s">
        <v>526</v>
      </c>
      <c r="AZ280"/>
      <c r="BA280"/>
      <c r="BB280"/>
      <c r="BC280"/>
      <c r="BD280" t="str">
        <f>BE53</f>
        <v>Senegal</v>
      </c>
      <c r="BE280" s="90" t="str">
        <f>BE35</f>
        <v>Tunesië</v>
      </c>
      <c r="BF280" s="152" t="str">
        <f>BE47</f>
        <v>Saoedi-Arabië</v>
      </c>
      <c r="BG280" s="152"/>
    </row>
    <row r="281" spans="1:59" s="90" customFormat="1" ht="14.25" customHeight="1" x14ac:dyDescent="0.2">
      <c r="A281" s="127"/>
      <c r="B281"/>
      <c r="C281" s="134"/>
      <c r="D281"/>
      <c r="E281"/>
      <c r="F281"/>
      <c r="G281"/>
      <c r="H281"/>
      <c r="I281"/>
      <c r="J281"/>
      <c r="K281"/>
      <c r="L281"/>
      <c r="M281"/>
      <c r="N281"/>
      <c r="O281"/>
      <c r="P281"/>
      <c r="Q281"/>
      <c r="R281"/>
      <c r="S281"/>
      <c r="T281"/>
      <c r="U281"/>
      <c r="V281"/>
      <c r="W281"/>
      <c r="X281" s="66"/>
      <c r="Y281" s="4"/>
      <c r="Z281" s="4"/>
      <c r="AA281" s="4"/>
      <c r="AB281" s="4"/>
      <c r="AC281" s="4"/>
      <c r="AD281" s="4"/>
      <c r="AE281" s="4"/>
      <c r="AF281" s="4"/>
      <c r="AG281"/>
      <c r="AH281"/>
      <c r="AI281"/>
      <c r="AJ281"/>
      <c r="AK281"/>
      <c r="AL281"/>
      <c r="AM281"/>
      <c r="AN281"/>
      <c r="AO281" s="148">
        <f t="shared" si="152"/>
        <v>8.9272000000000009</v>
      </c>
      <c r="AP281" s="195">
        <v>168</v>
      </c>
      <c r="AQ281" s="195" t="s">
        <v>519</v>
      </c>
      <c r="AR281" s="195" t="s">
        <v>520</v>
      </c>
      <c r="AS281" s="195" t="s">
        <v>521</v>
      </c>
      <c r="AT281" s="195" t="s">
        <v>522</v>
      </c>
      <c r="AU281" s="195" t="s">
        <v>530</v>
      </c>
      <c r="AV281" s="195" t="s">
        <v>523</v>
      </c>
      <c r="AW281" s="195" t="s">
        <v>525</v>
      </c>
      <c r="AX281" s="195" t="s">
        <v>526</v>
      </c>
      <c r="AZ281"/>
      <c r="BA281"/>
      <c r="BB281"/>
      <c r="BC281"/>
      <c r="BD281" t="str">
        <f>BE54</f>
        <v>Noorwegen</v>
      </c>
      <c r="BE281" s="90" t="str">
        <f>BE36</f>
        <v>Zweden</v>
      </c>
      <c r="BF281" s="152" t="str">
        <f>BE48</f>
        <v>Uruguay</v>
      </c>
      <c r="BG281" s="152"/>
    </row>
    <row r="282" spans="1:59" s="90" customFormat="1" ht="14.25" customHeight="1" x14ac:dyDescent="0.2">
      <c r="A282" s="127"/>
      <c r="B282"/>
      <c r="C282" s="134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/>
      <c r="R282"/>
      <c r="S282"/>
      <c r="T282"/>
      <c r="U282"/>
      <c r="V282"/>
      <c r="W282"/>
      <c r="X282" s="66"/>
      <c r="Y282" s="4"/>
      <c r="Z282" s="4"/>
      <c r="AA282" s="4"/>
      <c r="AB282" s="4"/>
      <c r="AC282" s="4"/>
      <c r="AD282" s="4"/>
      <c r="AE282" s="4"/>
      <c r="AF282" s="4"/>
      <c r="AG282"/>
      <c r="AH282"/>
      <c r="AI282"/>
      <c r="AJ282"/>
      <c r="AK282"/>
      <c r="AL282"/>
      <c r="AM282"/>
      <c r="AN282"/>
      <c r="AO282" s="148">
        <f t="shared" si="152"/>
        <v>8.9239999999999995</v>
      </c>
      <c r="AP282" s="195">
        <v>169</v>
      </c>
      <c r="AQ282" s="195" t="s">
        <v>519</v>
      </c>
      <c r="AR282" s="195" t="s">
        <v>520</v>
      </c>
      <c r="AS282" s="195" t="s">
        <v>521</v>
      </c>
      <c r="AT282" s="195" t="s">
        <v>522</v>
      </c>
      <c r="AU282" s="195" t="s">
        <v>530</v>
      </c>
      <c r="AV282" s="195" t="s">
        <v>524</v>
      </c>
      <c r="AW282" s="195" t="s">
        <v>525</v>
      </c>
      <c r="AX282" s="195" t="s">
        <v>526</v>
      </c>
      <c r="AZ282"/>
      <c r="BA282"/>
      <c r="BB282"/>
      <c r="BC282"/>
      <c r="BD282" t="str">
        <f>BE57</f>
        <v>Argentinië</v>
      </c>
      <c r="BE282" s="90" t="str">
        <f>BE51</f>
        <v>Irak</v>
      </c>
      <c r="BF282" s="152" t="str">
        <f>BE51</f>
        <v>Irak</v>
      </c>
      <c r="BG282" s="152"/>
    </row>
    <row r="283" spans="1:59" s="90" customFormat="1" ht="14.25" customHeight="1" x14ac:dyDescent="0.2">
      <c r="A283" s="127"/>
      <c r="B283"/>
      <c r="C283" s="134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/>
      <c r="R283"/>
      <c r="S283"/>
      <c r="T283"/>
      <c r="U283"/>
      <c r="V283"/>
      <c r="W283"/>
      <c r="X283" s="66"/>
      <c r="Y283" s="4"/>
      <c r="Z283" s="4"/>
      <c r="AA283" s="4"/>
      <c r="AB283" s="4"/>
      <c r="AC283" s="4"/>
      <c r="AD283" s="4"/>
      <c r="AE283" s="4"/>
      <c r="AF283" s="4"/>
      <c r="AG283"/>
      <c r="AH283"/>
      <c r="AI283"/>
      <c r="AJ283"/>
      <c r="AK283"/>
      <c r="AL283"/>
      <c r="AM283"/>
      <c r="AN283"/>
      <c r="AO283" s="148">
        <f t="shared" si="152"/>
        <v>8.9270000000000014</v>
      </c>
      <c r="AP283" s="195">
        <v>170</v>
      </c>
      <c r="AQ283" s="195" t="s">
        <v>519</v>
      </c>
      <c r="AR283" s="195" t="s">
        <v>524</v>
      </c>
      <c r="AS283" s="195" t="s">
        <v>520</v>
      </c>
      <c r="AT283" s="195" t="s">
        <v>522</v>
      </c>
      <c r="AU283" s="195" t="s">
        <v>530</v>
      </c>
      <c r="AV283" s="195" t="s">
        <v>523</v>
      </c>
      <c r="AW283" s="195" t="s">
        <v>525</v>
      </c>
      <c r="AX283" s="195" t="s">
        <v>526</v>
      </c>
      <c r="AZ283"/>
      <c r="BA283"/>
      <c r="BB283"/>
      <c r="BC283"/>
      <c r="BD283" t="str">
        <f>BE58</f>
        <v>Algerije</v>
      </c>
      <c r="BE283" s="90" t="str">
        <f>BE52</f>
        <v>Frankrijk</v>
      </c>
      <c r="BF283" s="152" t="str">
        <f>BE52</f>
        <v>Frankrijk</v>
      </c>
      <c r="BG283" s="152"/>
    </row>
    <row r="284" spans="1:59" s="90" customFormat="1" ht="14.25" customHeight="1" x14ac:dyDescent="0.2">
      <c r="A284" s="127"/>
      <c r="B284"/>
      <c r="C284" s="13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/>
      <c r="R284"/>
      <c r="S284"/>
      <c r="T284"/>
      <c r="U284"/>
      <c r="V284"/>
      <c r="W284"/>
      <c r="X284" s="66"/>
      <c r="Y284" s="4"/>
      <c r="Z284" s="4"/>
      <c r="AA284" s="4"/>
      <c r="AB284" s="4"/>
      <c r="AC284" s="4"/>
      <c r="AD284" s="4"/>
      <c r="AE284" s="4"/>
      <c r="AF284" s="4"/>
      <c r="AG284"/>
      <c r="AH284"/>
      <c r="AI284"/>
      <c r="AJ284"/>
      <c r="AK284"/>
      <c r="AL284"/>
      <c r="AM284"/>
      <c r="AN284"/>
      <c r="AO284" s="148">
        <f t="shared" si="152"/>
        <v>8.9273000000000025</v>
      </c>
      <c r="AP284" s="195">
        <v>171</v>
      </c>
      <c r="AQ284" s="195" t="s">
        <v>519</v>
      </c>
      <c r="AR284" s="195" t="s">
        <v>524</v>
      </c>
      <c r="AS284" s="195" t="s">
        <v>521</v>
      </c>
      <c r="AT284" s="195" t="s">
        <v>522</v>
      </c>
      <c r="AU284" s="195" t="s">
        <v>530</v>
      </c>
      <c r="AV284" s="195" t="s">
        <v>523</v>
      </c>
      <c r="AW284" s="195" t="s">
        <v>525</v>
      </c>
      <c r="AX284" s="195" t="s">
        <v>526</v>
      </c>
      <c r="AZ284"/>
      <c r="BA284"/>
      <c r="BB284"/>
      <c r="BC284"/>
      <c r="BD284" t="str">
        <f>BE59</f>
        <v>Oostenrijk</v>
      </c>
      <c r="BE284" s="90" t="str">
        <f>BE53</f>
        <v>Senegal</v>
      </c>
      <c r="BF284" s="152" t="str">
        <f>BE53</f>
        <v>Senegal</v>
      </c>
      <c r="BG284" s="152"/>
    </row>
    <row r="285" spans="1:59" s="90" customFormat="1" ht="14.25" customHeight="1" x14ac:dyDescent="0.2">
      <c r="A285" s="127"/>
      <c r="B285"/>
      <c r="C285" s="134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/>
      <c r="R285"/>
      <c r="S285"/>
      <c r="T285"/>
      <c r="U285"/>
      <c r="V285"/>
      <c r="W285"/>
      <c r="X285" s="66"/>
      <c r="Y285" s="4"/>
      <c r="Z285" s="4"/>
      <c r="AA285" s="4"/>
      <c r="AB285" s="4"/>
      <c r="AC285" s="4"/>
      <c r="AD285" s="4"/>
      <c r="AE285" s="4"/>
      <c r="AF285" s="4"/>
      <c r="AG285"/>
      <c r="AH285"/>
      <c r="AI285"/>
      <c r="AJ285"/>
      <c r="AK285"/>
      <c r="AL285"/>
      <c r="AM285"/>
      <c r="AN285"/>
      <c r="AO285" s="148">
        <f t="shared" si="152"/>
        <v>8.9255000000000013</v>
      </c>
      <c r="AP285" s="195">
        <v>172</v>
      </c>
      <c r="AQ285" s="195" t="s">
        <v>519</v>
      </c>
      <c r="AR285" s="195" t="s">
        <v>524</v>
      </c>
      <c r="AS285" s="195" t="s">
        <v>520</v>
      </c>
      <c r="AT285" s="195" t="s">
        <v>522</v>
      </c>
      <c r="AU285" s="195" t="s">
        <v>530</v>
      </c>
      <c r="AV285" s="195" t="s">
        <v>523</v>
      </c>
      <c r="AW285" s="195" t="s">
        <v>525</v>
      </c>
      <c r="AX285" s="195" t="s">
        <v>521</v>
      </c>
      <c r="AZ285"/>
      <c r="BA285"/>
      <c r="BB285"/>
      <c r="BC285"/>
      <c r="BD285" t="str">
        <f>BE60</f>
        <v>Jordanië</v>
      </c>
      <c r="BE285" s="90" t="str">
        <f>BE54</f>
        <v>Noorwegen</v>
      </c>
      <c r="BF285" s="152" t="str">
        <f>BE54</f>
        <v>Noorwegen</v>
      </c>
      <c r="BG285" s="152"/>
    </row>
    <row r="286" spans="1:59" s="90" customFormat="1" ht="14.25" customHeight="1" x14ac:dyDescent="0.2">
      <c r="A286" s="127"/>
      <c r="B286"/>
      <c r="C286" s="134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/>
      <c r="R286"/>
      <c r="S286"/>
      <c r="T286"/>
      <c r="U286"/>
      <c r="V286"/>
      <c r="W286"/>
      <c r="X286" s="66"/>
      <c r="Y286" s="4"/>
      <c r="Z286" s="4"/>
      <c r="AA286" s="4"/>
      <c r="AB286" s="4"/>
      <c r="AC286" s="4"/>
      <c r="AD286" s="4"/>
      <c r="AE286" s="4"/>
      <c r="AF286" s="4"/>
      <c r="AG286"/>
      <c r="AH286"/>
      <c r="AI286"/>
      <c r="AJ286"/>
      <c r="AK286"/>
      <c r="AL286"/>
      <c r="AM286"/>
      <c r="AN286"/>
      <c r="AO286" s="148">
        <f t="shared" si="152"/>
        <v>8.9268000000000001</v>
      </c>
      <c r="AP286" s="195">
        <v>173</v>
      </c>
      <c r="AQ286" s="195" t="s">
        <v>519</v>
      </c>
      <c r="AR286" s="195" t="s">
        <v>524</v>
      </c>
      <c r="AS286" s="195" t="s">
        <v>520</v>
      </c>
      <c r="AT286" s="195" t="s">
        <v>522</v>
      </c>
      <c r="AU286" s="195" t="s">
        <v>530</v>
      </c>
      <c r="AV286" s="195" t="s">
        <v>523</v>
      </c>
      <c r="AW286" s="195" t="s">
        <v>521</v>
      </c>
      <c r="AX286" s="195" t="s">
        <v>526</v>
      </c>
      <c r="AZ286"/>
      <c r="BA286"/>
      <c r="BB286"/>
      <c r="BC286"/>
      <c r="BE286" s="90" t="str">
        <f>BE57</f>
        <v>Argentinië</v>
      </c>
      <c r="BF286" s="152" t="str">
        <f>BE57</f>
        <v>Argentinië</v>
      </c>
      <c r="BG286" s="152"/>
    </row>
    <row r="287" spans="1:59" s="90" customFormat="1" ht="14.25" customHeight="1" x14ac:dyDescent="0.2">
      <c r="A287" s="127"/>
      <c r="B287"/>
      <c r="C287" s="134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/>
      <c r="R287"/>
      <c r="S287"/>
      <c r="T287"/>
      <c r="U287"/>
      <c r="V287"/>
      <c r="W287"/>
      <c r="X287" s="66"/>
      <c r="Y287" s="4"/>
      <c r="Z287" s="4"/>
      <c r="AA287" s="4"/>
      <c r="AB287" s="4"/>
      <c r="AC287" s="4"/>
      <c r="AD287" s="4"/>
      <c r="AE287" s="4"/>
      <c r="AF287" s="4"/>
      <c r="AG287"/>
      <c r="AH287"/>
      <c r="AI287"/>
      <c r="AJ287"/>
      <c r="AK287"/>
      <c r="AL287"/>
      <c r="AM287"/>
      <c r="AN287"/>
      <c r="AO287" s="148">
        <f t="shared" si="152"/>
        <v>8.9255999999999993</v>
      </c>
      <c r="AP287" s="195">
        <v>174</v>
      </c>
      <c r="AQ287" s="195" t="s">
        <v>523</v>
      </c>
      <c r="AR287" s="195" t="s">
        <v>520</v>
      </c>
      <c r="AS287" s="195" t="s">
        <v>521</v>
      </c>
      <c r="AT287" s="195" t="s">
        <v>527</v>
      </c>
      <c r="AU287" s="195" t="s">
        <v>530</v>
      </c>
      <c r="AV287" s="195" t="s">
        <v>524</v>
      </c>
      <c r="AW287" s="195" t="s">
        <v>525</v>
      </c>
      <c r="AX287" s="195" t="s">
        <v>526</v>
      </c>
      <c r="AZ287"/>
      <c r="BA287"/>
      <c r="BB287"/>
      <c r="BC287"/>
      <c r="BE287" s="90" t="str">
        <f>BE58</f>
        <v>Algerije</v>
      </c>
      <c r="BF287" s="152" t="str">
        <f>BE58</f>
        <v>Algerije</v>
      </c>
      <c r="BG287" s="152"/>
    </row>
    <row r="288" spans="1:59" s="90" customFormat="1" ht="14.25" customHeight="1" x14ac:dyDescent="0.2">
      <c r="A288" s="127"/>
      <c r="B288"/>
      <c r="C288" s="134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/>
      <c r="R288"/>
      <c r="S288"/>
      <c r="T288"/>
      <c r="U288"/>
      <c r="V288"/>
      <c r="W288"/>
      <c r="X288" s="66"/>
      <c r="Y288" s="4"/>
      <c r="Z288" s="4"/>
      <c r="AA288" s="4"/>
      <c r="AB288" s="4"/>
      <c r="AC288" s="4"/>
      <c r="AD288" s="4"/>
      <c r="AE288" s="4"/>
      <c r="AF288" s="4"/>
      <c r="AG288"/>
      <c r="AH288"/>
      <c r="AI288"/>
      <c r="AJ288"/>
      <c r="AK288"/>
      <c r="AL288"/>
      <c r="AM288"/>
      <c r="AN288"/>
      <c r="AO288" s="148">
        <f t="shared" si="152"/>
        <v>8.9265000000000008</v>
      </c>
      <c r="AP288" s="195">
        <v>175</v>
      </c>
      <c r="AQ288" s="195" t="s">
        <v>523</v>
      </c>
      <c r="AR288" s="195" t="s">
        <v>520</v>
      </c>
      <c r="AS288" s="195" t="s">
        <v>521</v>
      </c>
      <c r="AT288" s="195" t="s">
        <v>527</v>
      </c>
      <c r="AU288" s="195" t="s">
        <v>530</v>
      </c>
      <c r="AV288" s="195" t="s">
        <v>522</v>
      </c>
      <c r="AW288" s="195" t="s">
        <v>525</v>
      </c>
      <c r="AX288" s="195" t="s">
        <v>526</v>
      </c>
      <c r="AZ288"/>
      <c r="BA288"/>
      <c r="BB288"/>
      <c r="BC288"/>
      <c r="BE288" s="90" t="str">
        <f>BE59</f>
        <v>Oostenrijk</v>
      </c>
      <c r="BF288" s="152" t="str">
        <f>BE59</f>
        <v>Oostenrijk</v>
      </c>
      <c r="BG288" s="152"/>
    </row>
    <row r="289" spans="1:59" s="90" customFormat="1" ht="14.25" customHeight="1" x14ac:dyDescent="0.2">
      <c r="A289" s="127"/>
      <c r="B289"/>
      <c r="C289" s="134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/>
      <c r="R289"/>
      <c r="S289"/>
      <c r="T289"/>
      <c r="U289"/>
      <c r="V289"/>
      <c r="W289"/>
      <c r="X289" s="66"/>
      <c r="Y289" s="4"/>
      <c r="Z289" s="4"/>
      <c r="AA289" s="4"/>
      <c r="AB289" s="4"/>
      <c r="AC289" s="4"/>
      <c r="AD289" s="4"/>
      <c r="AE289" s="4"/>
      <c r="AF289" s="4"/>
      <c r="AG289"/>
      <c r="AH289"/>
      <c r="AI289"/>
      <c r="AJ289"/>
      <c r="AK289"/>
      <c r="AL289"/>
      <c r="AM289"/>
      <c r="AN289"/>
      <c r="AO289" s="148">
        <f t="shared" si="152"/>
        <v>8.9233000000000011</v>
      </c>
      <c r="AP289" s="195">
        <v>176</v>
      </c>
      <c r="AQ289" s="195" t="s">
        <v>521</v>
      </c>
      <c r="AR289" s="195" t="s">
        <v>524</v>
      </c>
      <c r="AS289" s="195" t="s">
        <v>520</v>
      </c>
      <c r="AT289" s="195" t="s">
        <v>527</v>
      </c>
      <c r="AU289" s="195" t="s">
        <v>530</v>
      </c>
      <c r="AV289" s="195" t="s">
        <v>522</v>
      </c>
      <c r="AW289" s="195" t="s">
        <v>525</v>
      </c>
      <c r="AX289" s="195" t="s">
        <v>526</v>
      </c>
      <c r="AZ289"/>
      <c r="BA289"/>
      <c r="BB289"/>
      <c r="BC289"/>
      <c r="BE289" s="90" t="str">
        <f>BE60</f>
        <v>Jordanië</v>
      </c>
      <c r="BF289" s="152" t="str">
        <f>BE60</f>
        <v>Jordanië</v>
      </c>
      <c r="BG289" s="152"/>
    </row>
    <row r="290" spans="1:59" s="90" customFormat="1" ht="14.25" customHeight="1" x14ac:dyDescent="0.2">
      <c r="A290" s="127"/>
      <c r="B290"/>
      <c r="C290" s="134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/>
      <c r="R290"/>
      <c r="S290"/>
      <c r="T290"/>
      <c r="U290"/>
      <c r="V290"/>
      <c r="W290"/>
      <c r="X290" s="66"/>
      <c r="Y290" s="4"/>
      <c r="Z290" s="4"/>
      <c r="AA290" s="4"/>
      <c r="AB290" s="4"/>
      <c r="AC290" s="4"/>
      <c r="AD290" s="4"/>
      <c r="AE290" s="4"/>
      <c r="AF290" s="4"/>
      <c r="AG290"/>
      <c r="AH290"/>
      <c r="AI290"/>
      <c r="AJ290"/>
      <c r="AK290"/>
      <c r="AL290"/>
      <c r="AM290"/>
      <c r="AN290"/>
      <c r="AO290" s="148">
        <f t="shared" si="152"/>
        <v>8.9263000000000012</v>
      </c>
      <c r="AP290" s="195">
        <v>177</v>
      </c>
      <c r="AQ290" s="195" t="s">
        <v>523</v>
      </c>
      <c r="AR290" s="195" t="s">
        <v>524</v>
      </c>
      <c r="AS290" s="195" t="s">
        <v>520</v>
      </c>
      <c r="AT290" s="195" t="s">
        <v>527</v>
      </c>
      <c r="AU290" s="195" t="s">
        <v>530</v>
      </c>
      <c r="AV290" s="195" t="s">
        <v>522</v>
      </c>
      <c r="AW290" s="195" t="s">
        <v>525</v>
      </c>
      <c r="AX290" s="195" t="s">
        <v>526</v>
      </c>
      <c r="AZ290"/>
      <c r="BA290"/>
      <c r="BB290"/>
      <c r="BC290"/>
      <c r="BD290"/>
      <c r="BE290"/>
      <c r="BF290" s="152" t="str">
        <f>BE63</f>
        <v>Congo</v>
      </c>
      <c r="BG290" s="152"/>
    </row>
    <row r="291" spans="1:59" s="90" customFormat="1" ht="14.25" customHeight="1" x14ac:dyDescent="0.2">
      <c r="A291" s="127"/>
      <c r="B291"/>
      <c r="C291" s="134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/>
      <c r="R291"/>
      <c r="S291"/>
      <c r="T291"/>
      <c r="U291"/>
      <c r="V291"/>
      <c r="W291"/>
      <c r="X291" s="66"/>
      <c r="Y291" s="4"/>
      <c r="Z291" s="4"/>
      <c r="AA291" s="4"/>
      <c r="AB291" s="4"/>
      <c r="AC291" s="4"/>
      <c r="AD291" s="4"/>
      <c r="AE291" s="4"/>
      <c r="AF291" s="4"/>
      <c r="AG291"/>
      <c r="AH291"/>
      <c r="AI291"/>
      <c r="AJ291"/>
      <c r="AK291"/>
      <c r="AL291"/>
      <c r="AM291"/>
      <c r="AN291"/>
      <c r="AO291" s="148">
        <f t="shared" si="152"/>
        <v>8.9266000000000005</v>
      </c>
      <c r="AP291" s="195">
        <v>178</v>
      </c>
      <c r="AQ291" s="195" t="s">
        <v>523</v>
      </c>
      <c r="AR291" s="195" t="s">
        <v>524</v>
      </c>
      <c r="AS291" s="195" t="s">
        <v>521</v>
      </c>
      <c r="AT291" s="195" t="s">
        <v>527</v>
      </c>
      <c r="AU291" s="195" t="s">
        <v>530</v>
      </c>
      <c r="AV291" s="195" t="s">
        <v>522</v>
      </c>
      <c r="AW291" s="195" t="s">
        <v>525</v>
      </c>
      <c r="AX291" s="195" t="s">
        <v>526</v>
      </c>
      <c r="AZ291"/>
      <c r="BA291"/>
      <c r="BB291"/>
      <c r="BC291"/>
      <c r="BD291" s="91" t="s">
        <v>700</v>
      </c>
      <c r="BE291" s="212" t="s">
        <v>709</v>
      </c>
      <c r="BF291" s="152" t="str">
        <f>BE64</f>
        <v>Portugal</v>
      </c>
      <c r="BG291" s="152"/>
    </row>
    <row r="292" spans="1:59" s="90" customFormat="1" ht="14.25" customHeight="1" x14ac:dyDescent="0.2">
      <c r="A292" s="127"/>
      <c r="B292"/>
      <c r="C292" s="134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/>
      <c r="R292"/>
      <c r="S292"/>
      <c r="T292"/>
      <c r="U292"/>
      <c r="V292"/>
      <c r="W292"/>
      <c r="X292" s="66"/>
      <c r="Y292" s="4"/>
      <c r="Z292" s="4"/>
      <c r="AA292" s="4"/>
      <c r="AB292" s="4"/>
      <c r="AC292" s="4"/>
      <c r="AD292" s="4"/>
      <c r="AE292" s="4"/>
      <c r="AF292" s="4"/>
      <c r="AG292"/>
      <c r="AH292"/>
      <c r="AI292"/>
      <c r="AJ292"/>
      <c r="AK292"/>
      <c r="AL292"/>
      <c r="AM292"/>
      <c r="AN292"/>
      <c r="AO292" s="148">
        <f t="shared" si="152"/>
        <v>8.9248000000000012</v>
      </c>
      <c r="AP292" s="195">
        <v>179</v>
      </c>
      <c r="AQ292" s="195" t="s">
        <v>523</v>
      </c>
      <c r="AR292" s="195" t="s">
        <v>524</v>
      </c>
      <c r="AS292" s="195" t="s">
        <v>520</v>
      </c>
      <c r="AT292" s="195" t="s">
        <v>527</v>
      </c>
      <c r="AU292" s="195" t="s">
        <v>530</v>
      </c>
      <c r="AV292" s="195" t="s">
        <v>522</v>
      </c>
      <c r="AW292" s="195" t="s">
        <v>525</v>
      </c>
      <c r="AX292" s="195" t="s">
        <v>521</v>
      </c>
      <c r="AZ292"/>
      <c r="BA292"/>
      <c r="BB292"/>
      <c r="BC292"/>
      <c r="BD292" t="str">
        <f>BE27</f>
        <v>Duitsland</v>
      </c>
      <c r="BE292" s="223" t="str">
        <f t="shared" ref="BE292:BE295" si="158">BE9</f>
        <v>Canada</v>
      </c>
      <c r="BF292" s="152" t="str">
        <f>BE65</f>
        <v>Oezbekistan</v>
      </c>
      <c r="BG292" s="152"/>
    </row>
    <row r="293" spans="1:59" s="90" customFormat="1" ht="14.25" customHeight="1" x14ac:dyDescent="0.2">
      <c r="A293" s="127"/>
      <c r="B293"/>
      <c r="C293" s="134"/>
      <c r="D293"/>
      <c r="E293"/>
      <c r="F293"/>
      <c r="G293"/>
      <c r="H293"/>
      <c r="I293"/>
      <c r="J293"/>
      <c r="K293"/>
      <c r="L293"/>
      <c r="M293"/>
      <c r="N293"/>
      <c r="O293"/>
      <c r="P293"/>
      <c r="Q293"/>
      <c r="R293"/>
      <c r="S293"/>
      <c r="T293"/>
      <c r="U293"/>
      <c r="V293"/>
      <c r="W293"/>
      <c r="X293" s="66"/>
      <c r="Y293" s="4"/>
      <c r="Z293" s="4"/>
      <c r="AA293" s="4"/>
      <c r="AB293" s="4"/>
      <c r="AC293" s="4"/>
      <c r="AD293" s="4"/>
      <c r="AE293" s="4"/>
      <c r="AF293" s="4"/>
      <c r="AG293"/>
      <c r="AH293"/>
      <c r="AI293"/>
      <c r="AJ293"/>
      <c r="AK293"/>
      <c r="AL293"/>
      <c r="AM293"/>
      <c r="AN293"/>
      <c r="AO293" s="148">
        <f t="shared" si="152"/>
        <v>8.9261000000000017</v>
      </c>
      <c r="AP293" s="195">
        <v>180</v>
      </c>
      <c r="AQ293" s="195" t="s">
        <v>523</v>
      </c>
      <c r="AR293" s="195" t="s">
        <v>524</v>
      </c>
      <c r="AS293" s="195" t="s">
        <v>520</v>
      </c>
      <c r="AT293" s="195" t="s">
        <v>527</v>
      </c>
      <c r="AU293" s="195" t="s">
        <v>530</v>
      </c>
      <c r="AV293" s="195" t="s">
        <v>522</v>
      </c>
      <c r="AW293" s="195" t="s">
        <v>521</v>
      </c>
      <c r="AX293" s="195" t="s">
        <v>526</v>
      </c>
      <c r="AZ293"/>
      <c r="BA293"/>
      <c r="BB293"/>
      <c r="BC293"/>
      <c r="BD293" t="str">
        <f>BE28</f>
        <v>Curaçao</v>
      </c>
      <c r="BE293" s="223" t="str">
        <f t="shared" si="158"/>
        <v>Qatar</v>
      </c>
      <c r="BF293" s="152" t="str">
        <f>BE66</f>
        <v>Colombia</v>
      </c>
      <c r="BG293" s="152"/>
    </row>
    <row r="294" spans="1:59" s="90" customFormat="1" ht="14.25" customHeight="1" x14ac:dyDescent="0.2">
      <c r="A294" s="127"/>
      <c r="B294"/>
      <c r="C294" s="13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/>
      <c r="R294"/>
      <c r="S294"/>
      <c r="T294"/>
      <c r="U294"/>
      <c r="V294"/>
      <c r="W294"/>
      <c r="X294" s="66"/>
      <c r="Y294" s="4"/>
      <c r="Z294" s="4"/>
      <c r="AA294" s="4"/>
      <c r="AB294" s="4"/>
      <c r="AC294" s="4"/>
      <c r="AD294" s="4"/>
      <c r="AE294" s="4"/>
      <c r="AF294" s="4"/>
      <c r="AG294"/>
      <c r="AH294"/>
      <c r="AI294"/>
      <c r="AJ294"/>
      <c r="AK294"/>
      <c r="AL294"/>
      <c r="AM294"/>
      <c r="AN294"/>
      <c r="AO294" s="148">
        <f t="shared" si="152"/>
        <v>8.9261000000000017</v>
      </c>
      <c r="AP294" s="195">
        <v>181</v>
      </c>
      <c r="AQ294" s="195" t="s">
        <v>519</v>
      </c>
      <c r="AR294" s="195" t="s">
        <v>520</v>
      </c>
      <c r="AS294" s="195" t="s">
        <v>521</v>
      </c>
      <c r="AT294" s="195" t="s">
        <v>527</v>
      </c>
      <c r="AU294" s="195" t="s">
        <v>530</v>
      </c>
      <c r="AV294" s="195" t="s">
        <v>523</v>
      </c>
      <c r="AW294" s="195" t="s">
        <v>525</v>
      </c>
      <c r="AX294" s="195" t="s">
        <v>526</v>
      </c>
      <c r="AZ294"/>
      <c r="BA294"/>
      <c r="BB294"/>
      <c r="BC294"/>
      <c r="BD294" t="str">
        <f>BE29</f>
        <v>Ivoorkust</v>
      </c>
      <c r="BE294" s="223" t="str">
        <f t="shared" si="158"/>
        <v>Zwitserland</v>
      </c>
      <c r="BF294" s="152" t="str">
        <f>BE69</f>
        <v>Engeland</v>
      </c>
      <c r="BG294" s="152"/>
    </row>
    <row r="295" spans="1:59" s="90" customFormat="1" ht="14.25" customHeight="1" x14ac:dyDescent="0.2">
      <c r="A295" s="127"/>
      <c r="B295"/>
      <c r="C295" s="134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/>
      <c r="R295"/>
      <c r="S295"/>
      <c r="T295"/>
      <c r="U295"/>
      <c r="V295"/>
      <c r="W295"/>
      <c r="X295" s="66"/>
      <c r="Y295" s="4"/>
      <c r="Z295" s="4"/>
      <c r="AA295" s="4"/>
      <c r="AB295" s="4"/>
      <c r="AC295" s="4"/>
      <c r="AD295" s="4"/>
      <c r="AE295" s="4"/>
      <c r="AF295" s="4"/>
      <c r="AG295"/>
      <c r="AH295"/>
      <c r="AI295"/>
      <c r="AJ295"/>
      <c r="AK295"/>
      <c r="AL295"/>
      <c r="AM295"/>
      <c r="AN295"/>
      <c r="AO295" s="148">
        <f t="shared" si="152"/>
        <v>8.9229000000000021</v>
      </c>
      <c r="AP295" s="195">
        <v>182</v>
      </c>
      <c r="AQ295" s="195" t="s">
        <v>519</v>
      </c>
      <c r="AR295" s="195" t="s">
        <v>520</v>
      </c>
      <c r="AS295" s="195" t="s">
        <v>521</v>
      </c>
      <c r="AT295" s="195" t="s">
        <v>527</v>
      </c>
      <c r="AU295" s="195" t="s">
        <v>530</v>
      </c>
      <c r="AV295" s="195" t="s">
        <v>524</v>
      </c>
      <c r="AW295" s="195" t="s">
        <v>525</v>
      </c>
      <c r="AX295" s="195" t="s">
        <v>526</v>
      </c>
      <c r="AZ295"/>
      <c r="BA295"/>
      <c r="BB295"/>
      <c r="BC295"/>
      <c r="BD295" t="str">
        <f>BE30</f>
        <v>Ecuador</v>
      </c>
      <c r="BE295" s="223" t="str">
        <f t="shared" si="158"/>
        <v>Bosnië-Herzegovina</v>
      </c>
      <c r="BF295" s="152" t="str">
        <f>BE70</f>
        <v>Kroatië</v>
      </c>
      <c r="BG295" s="152"/>
    </row>
    <row r="296" spans="1:59" s="90" customFormat="1" ht="14.25" customHeight="1" x14ac:dyDescent="0.2">
      <c r="A296" s="127"/>
      <c r="B296"/>
      <c r="C296" s="134"/>
      <c r="D296"/>
      <c r="E296"/>
      <c r="F296"/>
      <c r="G296"/>
      <c r="H296"/>
      <c r="I296"/>
      <c r="J296"/>
      <c r="K296"/>
      <c r="L296"/>
      <c r="M296"/>
      <c r="N296"/>
      <c r="O296"/>
      <c r="P296"/>
      <c r="Q296"/>
      <c r="R296"/>
      <c r="S296"/>
      <c r="T296"/>
      <c r="U296"/>
      <c r="V296"/>
      <c r="W296"/>
      <c r="X296" s="66"/>
      <c r="Y296" s="4"/>
      <c r="Z296" s="4"/>
      <c r="AA296" s="4"/>
      <c r="AB296" s="4"/>
      <c r="AC296" s="4"/>
      <c r="AD296" s="4"/>
      <c r="AE296" s="4"/>
      <c r="AF296" s="4"/>
      <c r="AG296"/>
      <c r="AH296"/>
      <c r="AI296"/>
      <c r="AJ296"/>
      <c r="AK296"/>
      <c r="AL296"/>
      <c r="AM296"/>
      <c r="AN296"/>
      <c r="AO296" s="148">
        <f t="shared" si="152"/>
        <v>8.9259000000000022</v>
      </c>
      <c r="AP296" s="195">
        <v>183</v>
      </c>
      <c r="AQ296" s="195" t="s">
        <v>519</v>
      </c>
      <c r="AR296" s="195" t="s">
        <v>524</v>
      </c>
      <c r="AS296" s="195" t="s">
        <v>520</v>
      </c>
      <c r="AT296" s="195" t="s">
        <v>527</v>
      </c>
      <c r="AU296" s="195" t="s">
        <v>530</v>
      </c>
      <c r="AV296" s="195" t="s">
        <v>523</v>
      </c>
      <c r="AW296" s="195" t="s">
        <v>525</v>
      </c>
      <c r="AX296" s="195" t="s">
        <v>526</v>
      </c>
      <c r="AZ296"/>
      <c r="BA296"/>
      <c r="BB296"/>
      <c r="BC296"/>
      <c r="BD296" t="str">
        <f>BE33</f>
        <v>Nederland</v>
      </c>
      <c r="BE296" s="90" t="str">
        <f>BE27</f>
        <v>Duitsland</v>
      </c>
      <c r="BF296" s="152" t="str">
        <f>BE71</f>
        <v>Ghana</v>
      </c>
      <c r="BG296" s="152"/>
    </row>
    <row r="297" spans="1:59" s="90" customFormat="1" ht="14.25" customHeight="1" x14ac:dyDescent="0.2">
      <c r="A297" s="127"/>
      <c r="B297"/>
      <c r="C297" s="134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/>
      <c r="R297"/>
      <c r="S297"/>
      <c r="T297"/>
      <c r="U297"/>
      <c r="V297"/>
      <c r="W297"/>
      <c r="X297" s="66"/>
      <c r="Y297" s="4"/>
      <c r="Z297" s="4"/>
      <c r="AA297" s="4"/>
      <c r="AB297" s="4"/>
      <c r="AC297" s="4"/>
      <c r="AD297" s="4"/>
      <c r="AE297" s="4"/>
      <c r="AF297" s="4"/>
      <c r="AG297"/>
      <c r="AH297"/>
      <c r="AI297"/>
      <c r="AJ297"/>
      <c r="AK297"/>
      <c r="AL297"/>
      <c r="AM297"/>
      <c r="AN297"/>
      <c r="AO297" s="148">
        <f t="shared" si="152"/>
        <v>8.9262000000000015</v>
      </c>
      <c r="AP297" s="195">
        <v>184</v>
      </c>
      <c r="AQ297" s="195" t="s">
        <v>519</v>
      </c>
      <c r="AR297" s="195" t="s">
        <v>524</v>
      </c>
      <c r="AS297" s="195" t="s">
        <v>521</v>
      </c>
      <c r="AT297" s="195" t="s">
        <v>527</v>
      </c>
      <c r="AU297" s="195" t="s">
        <v>530</v>
      </c>
      <c r="AV297" s="195" t="s">
        <v>523</v>
      </c>
      <c r="AW297" s="195" t="s">
        <v>525</v>
      </c>
      <c r="AX297" s="195" t="s">
        <v>526</v>
      </c>
      <c r="AZ297"/>
      <c r="BA297"/>
      <c r="BB297"/>
      <c r="BC297"/>
      <c r="BD297" t="str">
        <f>BE34</f>
        <v>Japan</v>
      </c>
      <c r="BE297" s="90" t="str">
        <f>BE28</f>
        <v>Curaçao</v>
      </c>
      <c r="BF297" s="152" t="str">
        <f>BE72</f>
        <v>Panama</v>
      </c>
      <c r="BG297" s="152"/>
    </row>
    <row r="298" spans="1:59" s="90" customFormat="1" ht="14.25" customHeight="1" x14ac:dyDescent="0.2">
      <c r="A298" s="127"/>
      <c r="B298"/>
      <c r="C298" s="134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/>
      <c r="R298"/>
      <c r="S298"/>
      <c r="T298"/>
      <c r="U298"/>
      <c r="V298"/>
      <c r="W298"/>
      <c r="X298" s="66"/>
      <c r="Y298" s="4"/>
      <c r="Z298" s="4"/>
      <c r="AA298" s="4"/>
      <c r="AB298" s="4"/>
      <c r="AC298" s="4"/>
      <c r="AD298" s="4"/>
      <c r="AE298" s="4"/>
      <c r="AF298" s="4"/>
      <c r="AG298"/>
      <c r="AH298"/>
      <c r="AI298"/>
      <c r="AJ298"/>
      <c r="AK298"/>
      <c r="AL298"/>
      <c r="AM298"/>
      <c r="AN298"/>
      <c r="AO298" s="148">
        <f t="shared" si="152"/>
        <v>8.9244000000000021</v>
      </c>
      <c r="AP298" s="195">
        <v>185</v>
      </c>
      <c r="AQ298" s="195" t="s">
        <v>519</v>
      </c>
      <c r="AR298" s="195" t="s">
        <v>524</v>
      </c>
      <c r="AS298" s="195" t="s">
        <v>520</v>
      </c>
      <c r="AT298" s="195" t="s">
        <v>527</v>
      </c>
      <c r="AU298" s="195" t="s">
        <v>530</v>
      </c>
      <c r="AV298" s="195" t="s">
        <v>523</v>
      </c>
      <c r="AW298" s="195" t="s">
        <v>525</v>
      </c>
      <c r="AX298" s="195" t="s">
        <v>521</v>
      </c>
      <c r="AZ298"/>
      <c r="BA298"/>
      <c r="BB298"/>
      <c r="BC298"/>
      <c r="BD298" t="str">
        <f>BE35</f>
        <v>Tunesië</v>
      </c>
      <c r="BE298" s="90" t="str">
        <f>BE29</f>
        <v>Ivoorkust</v>
      </c>
      <c r="BF298" s="152"/>
      <c r="BG298" s="152"/>
    </row>
    <row r="299" spans="1:59" s="90" customFormat="1" ht="14.25" customHeight="1" x14ac:dyDescent="0.2">
      <c r="A299" s="127"/>
      <c r="B299"/>
      <c r="C299" s="134"/>
      <c r="D299"/>
      <c r="E299"/>
      <c r="F299"/>
      <c r="G299"/>
      <c r="H299"/>
      <c r="I299"/>
      <c r="J299"/>
      <c r="K299"/>
      <c r="L299"/>
      <c r="M299"/>
      <c r="N299"/>
      <c r="O299"/>
      <c r="P299"/>
      <c r="Q299"/>
      <c r="R299"/>
      <c r="S299"/>
      <c r="T299"/>
      <c r="U299"/>
      <c r="V299"/>
      <c r="W299"/>
      <c r="X299" s="66"/>
      <c r="Y299" s="4"/>
      <c r="Z299" s="4"/>
      <c r="AA299" s="4"/>
      <c r="AB299" s="4"/>
      <c r="AC299" s="4"/>
      <c r="AD299" s="4"/>
      <c r="AE299" s="4"/>
      <c r="AF299" s="4"/>
      <c r="AG299"/>
      <c r="AH299"/>
      <c r="AI299"/>
      <c r="AJ299"/>
      <c r="AK299"/>
      <c r="AL299"/>
      <c r="AM299"/>
      <c r="AN299"/>
      <c r="AO299" s="148">
        <f t="shared" si="152"/>
        <v>8.9257000000000009</v>
      </c>
      <c r="AP299" s="195">
        <v>186</v>
      </c>
      <c r="AQ299" s="195" t="s">
        <v>519</v>
      </c>
      <c r="AR299" s="195" t="s">
        <v>524</v>
      </c>
      <c r="AS299" s="195" t="s">
        <v>520</v>
      </c>
      <c r="AT299" s="195" t="s">
        <v>527</v>
      </c>
      <c r="AU299" s="195" t="s">
        <v>530</v>
      </c>
      <c r="AV299" s="195" t="s">
        <v>523</v>
      </c>
      <c r="AW299" s="195" t="s">
        <v>521</v>
      </c>
      <c r="AX299" s="195" t="s">
        <v>526</v>
      </c>
      <c r="AZ299"/>
      <c r="BA299"/>
      <c r="BB299"/>
      <c r="BC299"/>
      <c r="BD299" t="str">
        <f>BE36</f>
        <v>Zweden</v>
      </c>
      <c r="BE299" s="90" t="str">
        <f>BE30</f>
        <v>Ecuador</v>
      </c>
      <c r="BF299" s="212" t="s">
        <v>694</v>
      </c>
      <c r="BG299" s="152"/>
    </row>
    <row r="300" spans="1:59" s="90" customFormat="1" ht="14.25" customHeight="1" x14ac:dyDescent="0.2">
      <c r="A300" s="127"/>
      <c r="B300"/>
      <c r="C300" s="134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/>
      <c r="R300"/>
      <c r="S300"/>
      <c r="T300"/>
      <c r="U300"/>
      <c r="V300"/>
      <c r="W300"/>
      <c r="X300" s="66"/>
      <c r="Y300" s="4"/>
      <c r="Z300" s="4"/>
      <c r="AA300" s="4"/>
      <c r="AB300" s="4"/>
      <c r="AC300" s="4"/>
      <c r="AD300" s="4"/>
      <c r="AE300" s="4"/>
      <c r="AF300" s="4"/>
      <c r="AG300"/>
      <c r="AH300"/>
      <c r="AI300"/>
      <c r="AJ300"/>
      <c r="AK300"/>
      <c r="AL300"/>
      <c r="AM300"/>
      <c r="AN300"/>
      <c r="AO300" s="148">
        <f t="shared" si="152"/>
        <v>8.9238</v>
      </c>
      <c r="AP300" s="195">
        <v>187</v>
      </c>
      <c r="AQ300" s="195" t="s">
        <v>519</v>
      </c>
      <c r="AR300" s="195" t="s">
        <v>520</v>
      </c>
      <c r="AS300" s="195" t="s">
        <v>521</v>
      </c>
      <c r="AT300" s="195" t="s">
        <v>527</v>
      </c>
      <c r="AU300" s="195" t="s">
        <v>530</v>
      </c>
      <c r="AV300" s="195" t="s">
        <v>522</v>
      </c>
      <c r="AW300" s="195" t="s">
        <v>525</v>
      </c>
      <c r="AX300" s="195" t="s">
        <v>526</v>
      </c>
      <c r="AZ300"/>
      <c r="BA300"/>
      <c r="BB300"/>
      <c r="BC300"/>
      <c r="BD300" t="str">
        <f>BE39</f>
        <v>België</v>
      </c>
      <c r="BE300" s="90" t="str">
        <f>BE33</f>
        <v>Nederland</v>
      </c>
      <c r="BF300" s="152" t="str">
        <f t="shared" ref="BF300:BF303" si="159">BE3</f>
        <v>Mexico</v>
      </c>
      <c r="BG300" s="152"/>
    </row>
    <row r="301" spans="1:59" s="90" customFormat="1" ht="14.25" customHeight="1" x14ac:dyDescent="0.2">
      <c r="A301" s="127"/>
      <c r="B301"/>
      <c r="C301" s="134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/>
      <c r="R301"/>
      <c r="S301"/>
      <c r="T301"/>
      <c r="U301"/>
      <c r="V301"/>
      <c r="W301"/>
      <c r="X301" s="66"/>
      <c r="Y301" s="4"/>
      <c r="Z301" s="4"/>
      <c r="AA301" s="4"/>
      <c r="AB301" s="4"/>
      <c r="AC301" s="4"/>
      <c r="AD301" s="4"/>
      <c r="AE301" s="4"/>
      <c r="AF301" s="4"/>
      <c r="AG301"/>
      <c r="AH301"/>
      <c r="AI301"/>
      <c r="AJ301"/>
      <c r="AK301"/>
      <c r="AL301"/>
      <c r="AM301"/>
      <c r="AN301"/>
      <c r="AO301" s="148">
        <f t="shared" si="152"/>
        <v>8.9268000000000001</v>
      </c>
      <c r="AP301" s="195">
        <v>188</v>
      </c>
      <c r="AQ301" s="195" t="s">
        <v>523</v>
      </c>
      <c r="AR301" s="195" t="s">
        <v>520</v>
      </c>
      <c r="AS301" s="195" t="s">
        <v>519</v>
      </c>
      <c r="AT301" s="195" t="s">
        <v>527</v>
      </c>
      <c r="AU301" s="195" t="s">
        <v>530</v>
      </c>
      <c r="AV301" s="195" t="s">
        <v>522</v>
      </c>
      <c r="AW301" s="195" t="s">
        <v>525</v>
      </c>
      <c r="AX301" s="195" t="s">
        <v>526</v>
      </c>
      <c r="AZ301"/>
      <c r="BA301"/>
      <c r="BB301"/>
      <c r="BC301"/>
      <c r="BD301" t="str">
        <f>BE40</f>
        <v>Egypte</v>
      </c>
      <c r="BE301" s="90" t="str">
        <f>BE34</f>
        <v>Japan</v>
      </c>
      <c r="BF301" s="152" t="str">
        <f t="shared" si="159"/>
        <v>Zuid-Afrika</v>
      </c>
      <c r="BG301" s="152"/>
    </row>
    <row r="302" spans="1:59" s="90" customFormat="1" ht="14.25" customHeight="1" x14ac:dyDescent="0.2">
      <c r="A302" s="127"/>
      <c r="B302"/>
      <c r="C302" s="134"/>
      <c r="D302"/>
      <c r="E302"/>
      <c r="F302"/>
      <c r="G302"/>
      <c r="H302"/>
      <c r="I302"/>
      <c r="J302"/>
      <c r="K302"/>
      <c r="L302"/>
      <c r="M302"/>
      <c r="N302"/>
      <c r="O302"/>
      <c r="P302"/>
      <c r="Q302"/>
      <c r="R302"/>
      <c r="S302"/>
      <c r="T302"/>
      <c r="U302"/>
      <c r="V302"/>
      <c r="W302"/>
      <c r="X302" s="66"/>
      <c r="Y302" s="4"/>
      <c r="Z302" s="4"/>
      <c r="AA302" s="4"/>
      <c r="AB302" s="4"/>
      <c r="AC302" s="4"/>
      <c r="AD302" s="4"/>
      <c r="AE302" s="4"/>
      <c r="AF302" s="4"/>
      <c r="AG302"/>
      <c r="AH302"/>
      <c r="AI302"/>
      <c r="AJ302"/>
      <c r="AK302"/>
      <c r="AL302"/>
      <c r="AM302"/>
      <c r="AN302"/>
      <c r="AO302" s="148">
        <f t="shared" si="152"/>
        <v>8.9271000000000011</v>
      </c>
      <c r="AP302" s="195">
        <v>189</v>
      </c>
      <c r="AQ302" s="195" t="s">
        <v>523</v>
      </c>
      <c r="AR302" s="195" t="s">
        <v>519</v>
      </c>
      <c r="AS302" s="195" t="s">
        <v>521</v>
      </c>
      <c r="AT302" s="195" t="s">
        <v>527</v>
      </c>
      <c r="AU302" s="195" t="s">
        <v>530</v>
      </c>
      <c r="AV302" s="195" t="s">
        <v>522</v>
      </c>
      <c r="AW302" s="195" t="s">
        <v>525</v>
      </c>
      <c r="AX302" s="195" t="s">
        <v>526</v>
      </c>
      <c r="AZ302"/>
      <c r="BA302"/>
      <c r="BB302"/>
      <c r="BC302"/>
      <c r="BD302" t="str">
        <f>BE41</f>
        <v>Iran</v>
      </c>
      <c r="BE302" s="90" t="str">
        <f>BE35</f>
        <v>Tunesië</v>
      </c>
      <c r="BF302" s="152" t="str">
        <f t="shared" si="159"/>
        <v>Zuid-Korea</v>
      </c>
      <c r="BG302" s="152"/>
    </row>
    <row r="303" spans="1:59" s="90" customFormat="1" ht="14.25" customHeight="1" x14ac:dyDescent="0.2">
      <c r="A303" s="127"/>
      <c r="B303"/>
      <c r="C303" s="134"/>
      <c r="D303"/>
      <c r="E303"/>
      <c r="F303"/>
      <c r="G303"/>
      <c r="H303"/>
      <c r="I303"/>
      <c r="J303"/>
      <c r="K303"/>
      <c r="L303"/>
      <c r="M303"/>
      <c r="N303"/>
      <c r="O303"/>
      <c r="P303"/>
      <c r="Q303"/>
      <c r="R303"/>
      <c r="S303"/>
      <c r="T303"/>
      <c r="U303"/>
      <c r="V303"/>
      <c r="W303"/>
      <c r="X303" s="66"/>
      <c r="Y303" s="4"/>
      <c r="Z303" s="4"/>
      <c r="AA303" s="4"/>
      <c r="AB303" s="4"/>
      <c r="AC303" s="4"/>
      <c r="AD303" s="4"/>
      <c r="AE303" s="4"/>
      <c r="AF303" s="4"/>
      <c r="AG303"/>
      <c r="AH303"/>
      <c r="AI303"/>
      <c r="AJ303"/>
      <c r="AK303"/>
      <c r="AL303"/>
      <c r="AM303"/>
      <c r="AN303"/>
      <c r="AO303" s="148">
        <f t="shared" si="152"/>
        <v>8.9253000000000018</v>
      </c>
      <c r="AP303" s="195">
        <v>190</v>
      </c>
      <c r="AQ303" s="195" t="s">
        <v>523</v>
      </c>
      <c r="AR303" s="195" t="s">
        <v>520</v>
      </c>
      <c r="AS303" s="195" t="s">
        <v>519</v>
      </c>
      <c r="AT303" s="195" t="s">
        <v>527</v>
      </c>
      <c r="AU303" s="195" t="s">
        <v>530</v>
      </c>
      <c r="AV303" s="195" t="s">
        <v>522</v>
      </c>
      <c r="AW303" s="195" t="s">
        <v>525</v>
      </c>
      <c r="AX303" s="195" t="s">
        <v>521</v>
      </c>
      <c r="AZ303"/>
      <c r="BA303"/>
      <c r="BB303"/>
      <c r="BC303"/>
      <c r="BD303" t="str">
        <f>BE42</f>
        <v>Nieuw-Zeeland</v>
      </c>
      <c r="BE303" s="90" t="str">
        <f>BE36</f>
        <v>Zweden</v>
      </c>
      <c r="BF303" s="152" t="str">
        <f t="shared" si="159"/>
        <v>Tsjechië</v>
      </c>
      <c r="BG303" s="152"/>
    </row>
    <row r="304" spans="1:59" s="90" customFormat="1" ht="14.25" customHeight="1" x14ac:dyDescent="0.2">
      <c r="A304" s="127"/>
      <c r="B304"/>
      <c r="C304" s="13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/>
      <c r="R304"/>
      <c r="S304"/>
      <c r="T304"/>
      <c r="U304"/>
      <c r="V304"/>
      <c r="W304"/>
      <c r="X304" s="66"/>
      <c r="Y304" s="4"/>
      <c r="Z304" s="4"/>
      <c r="AA304" s="4"/>
      <c r="AB304" s="4"/>
      <c r="AC304" s="4"/>
      <c r="AD304" s="4"/>
      <c r="AE304" s="4"/>
      <c r="AF304" s="4"/>
      <c r="AG304"/>
      <c r="AH304"/>
      <c r="AI304"/>
      <c r="AJ304"/>
      <c r="AK304"/>
      <c r="AL304"/>
      <c r="AM304"/>
      <c r="AN304"/>
      <c r="AO304" s="148">
        <f t="shared" si="152"/>
        <v>8.9266000000000005</v>
      </c>
      <c r="AP304" s="195">
        <v>191</v>
      </c>
      <c r="AQ304" s="195" t="s">
        <v>523</v>
      </c>
      <c r="AR304" s="195" t="s">
        <v>520</v>
      </c>
      <c r="AS304" s="195" t="s">
        <v>519</v>
      </c>
      <c r="AT304" s="195" t="s">
        <v>527</v>
      </c>
      <c r="AU304" s="195" t="s">
        <v>530</v>
      </c>
      <c r="AV304" s="195" t="s">
        <v>522</v>
      </c>
      <c r="AW304" s="195" t="s">
        <v>521</v>
      </c>
      <c r="AX304" s="195" t="s">
        <v>526</v>
      </c>
      <c r="AZ304"/>
      <c r="BA304"/>
      <c r="BB304"/>
      <c r="BC304"/>
      <c r="BD304" t="str">
        <f>BE51</f>
        <v>Irak</v>
      </c>
      <c r="BE304" s="90" t="str">
        <f>BE39</f>
        <v>België</v>
      </c>
      <c r="BF304" s="152" t="str">
        <f>BE9</f>
        <v>Canada</v>
      </c>
      <c r="BG304" s="152"/>
    </row>
    <row r="305" spans="1:59" s="90" customFormat="1" ht="14.25" customHeight="1" x14ac:dyDescent="0.2">
      <c r="A305" s="127"/>
      <c r="B305"/>
      <c r="C305" s="134"/>
      <c r="D305"/>
      <c r="E305"/>
      <c r="F305"/>
      <c r="G305"/>
      <c r="H305"/>
      <c r="I305"/>
      <c r="J305"/>
      <c r="K305"/>
      <c r="L305"/>
      <c r="M305"/>
      <c r="N305"/>
      <c r="O305"/>
      <c r="P305"/>
      <c r="Q305"/>
      <c r="R305"/>
      <c r="S305"/>
      <c r="T305"/>
      <c r="U305"/>
      <c r="V305"/>
      <c r="W305"/>
      <c r="X305" s="66"/>
      <c r="Y305" s="4"/>
      <c r="Z305" s="4"/>
      <c r="AA305" s="4"/>
      <c r="AB305" s="4"/>
      <c r="AC305" s="4"/>
      <c r="AD305" s="4"/>
      <c r="AE305" s="4"/>
      <c r="AF305" s="4"/>
      <c r="AG305"/>
      <c r="AH305"/>
      <c r="AI305"/>
      <c r="AJ305"/>
      <c r="AK305"/>
      <c r="AL305"/>
      <c r="AM305"/>
      <c r="AN305"/>
      <c r="AO305" s="148">
        <f t="shared" si="152"/>
        <v>8.9236000000000004</v>
      </c>
      <c r="AP305" s="195">
        <v>192</v>
      </c>
      <c r="AQ305" s="195" t="s">
        <v>519</v>
      </c>
      <c r="AR305" s="195" t="s">
        <v>524</v>
      </c>
      <c r="AS305" s="195" t="s">
        <v>520</v>
      </c>
      <c r="AT305" s="195" t="s">
        <v>527</v>
      </c>
      <c r="AU305" s="195" t="s">
        <v>530</v>
      </c>
      <c r="AV305" s="195" t="s">
        <v>522</v>
      </c>
      <c r="AW305" s="195" t="s">
        <v>525</v>
      </c>
      <c r="AX305" s="195" t="s">
        <v>526</v>
      </c>
      <c r="AZ305"/>
      <c r="BA305"/>
      <c r="BB305"/>
      <c r="BC305"/>
      <c r="BD305" t="str">
        <f>BE52</f>
        <v>Frankrijk</v>
      </c>
      <c r="BE305" s="90" t="str">
        <f>BE40</f>
        <v>Egypte</v>
      </c>
      <c r="BF305" s="152" t="str">
        <f>BE10</f>
        <v>Qatar</v>
      </c>
      <c r="BG305" s="152"/>
    </row>
    <row r="306" spans="1:59" s="90" customFormat="1" ht="14.25" customHeight="1" x14ac:dyDescent="0.2">
      <c r="A306" s="127"/>
      <c r="B306"/>
      <c r="C306" s="134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/>
      <c r="R306"/>
      <c r="S306"/>
      <c r="T306"/>
      <c r="U306"/>
      <c r="V306"/>
      <c r="W306"/>
      <c r="X306" s="66"/>
      <c r="Y306" s="4"/>
      <c r="Z306" s="4"/>
      <c r="AA306" s="4"/>
      <c r="AB306" s="4"/>
      <c r="AC306" s="4"/>
      <c r="AD306" s="4"/>
      <c r="AE306" s="4"/>
      <c r="AF306" s="4"/>
      <c r="AG306"/>
      <c r="AH306"/>
      <c r="AI306"/>
      <c r="AJ306"/>
      <c r="AK306"/>
      <c r="AL306"/>
      <c r="AM306"/>
      <c r="AN306"/>
      <c r="AO306" s="148">
        <f t="shared" ref="AO306:AO369" si="160">VLOOKUP(AQ306,$AN$98:$BA$109,14,0)+VLOOKUP(AR306,$AN$98:$BA$109,14,0)+VLOOKUP(AS306,$AN$98:$BA$109,14,0)+VLOOKUP(AT306,$AN$98:$BA$109,14,0)+VLOOKUP(AU306,$AN$98:$BA$109,14,0)+VLOOKUP(AV306,$AN$98:$BA$109,14,0)+VLOOKUP(AW306,$AN$98:$BA$109,14,0)+VLOOKUP(AX306,$AN$98:$BA$109,14,0)</f>
        <v>8.9239000000000015</v>
      </c>
      <c r="AP306" s="195">
        <v>193</v>
      </c>
      <c r="AQ306" s="195" t="s">
        <v>519</v>
      </c>
      <c r="AR306" s="195" t="s">
        <v>524</v>
      </c>
      <c r="AS306" s="195" t="s">
        <v>521</v>
      </c>
      <c r="AT306" s="195" t="s">
        <v>527</v>
      </c>
      <c r="AU306" s="195" t="s">
        <v>530</v>
      </c>
      <c r="AV306" s="195" t="s">
        <v>522</v>
      </c>
      <c r="AW306" s="195" t="s">
        <v>525</v>
      </c>
      <c r="AX306" s="195" t="s">
        <v>526</v>
      </c>
      <c r="AZ306"/>
      <c r="BA306"/>
      <c r="BB306"/>
      <c r="BC306"/>
      <c r="BD306" t="str">
        <f>BE53</f>
        <v>Senegal</v>
      </c>
      <c r="BE306" s="90" t="str">
        <f>BE41</f>
        <v>Iran</v>
      </c>
      <c r="BF306" s="152" t="str">
        <f>BE11</f>
        <v>Zwitserland</v>
      </c>
      <c r="BG306" s="152"/>
    </row>
    <row r="307" spans="1:59" s="90" customFormat="1" ht="14.25" customHeight="1" x14ac:dyDescent="0.2">
      <c r="A307" s="127"/>
      <c r="B307"/>
      <c r="C307" s="134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/>
      <c r="R307"/>
      <c r="S307"/>
      <c r="T307"/>
      <c r="U307"/>
      <c r="V307"/>
      <c r="W307"/>
      <c r="X307" s="66"/>
      <c r="Y307" s="4"/>
      <c r="Z307" s="4"/>
      <c r="AA307" s="4"/>
      <c r="AB307" s="4"/>
      <c r="AC307" s="4"/>
      <c r="AD307" s="4"/>
      <c r="AE307" s="4"/>
      <c r="AF307" s="4"/>
      <c r="AG307"/>
      <c r="AH307"/>
      <c r="AI307"/>
      <c r="AJ307"/>
      <c r="AK307"/>
      <c r="AL307"/>
      <c r="AM307"/>
      <c r="AN307"/>
      <c r="AO307" s="148">
        <f t="shared" si="160"/>
        <v>8.9221000000000021</v>
      </c>
      <c r="AP307" s="195">
        <v>194</v>
      </c>
      <c r="AQ307" s="195" t="s">
        <v>519</v>
      </c>
      <c r="AR307" s="195" t="s">
        <v>524</v>
      </c>
      <c r="AS307" s="195" t="s">
        <v>520</v>
      </c>
      <c r="AT307" s="195" t="s">
        <v>527</v>
      </c>
      <c r="AU307" s="195" t="s">
        <v>530</v>
      </c>
      <c r="AV307" s="195" t="s">
        <v>522</v>
      </c>
      <c r="AW307" s="195" t="s">
        <v>525</v>
      </c>
      <c r="AX307" s="195" t="s">
        <v>521</v>
      </c>
      <c r="AZ307"/>
      <c r="BA307"/>
      <c r="BB307"/>
      <c r="BC307"/>
      <c r="BD307" t="str">
        <f>BE54</f>
        <v>Noorwegen</v>
      </c>
      <c r="BE307" s="90" t="str">
        <f>BE42</f>
        <v>Nieuw-Zeeland</v>
      </c>
      <c r="BF307" s="152" t="str">
        <f>BE12</f>
        <v>Bosnië-Herzegovina</v>
      </c>
      <c r="BG307" s="152"/>
    </row>
    <row r="308" spans="1:59" s="90" customFormat="1" ht="14.25" customHeight="1" x14ac:dyDescent="0.2">
      <c r="A308" s="127"/>
      <c r="B308"/>
      <c r="C308" s="134"/>
      <c r="D308"/>
      <c r="E308"/>
      <c r="F308"/>
      <c r="G308"/>
      <c r="H308"/>
      <c r="I308"/>
      <c r="J308"/>
      <c r="K308"/>
      <c r="L308"/>
      <c r="M308"/>
      <c r="N308"/>
      <c r="O308"/>
      <c r="P308"/>
      <c r="Q308"/>
      <c r="R308"/>
      <c r="S308"/>
      <c r="T308"/>
      <c r="U308"/>
      <c r="V308"/>
      <c r="W308"/>
      <c r="X308" s="66"/>
      <c r="Y308" s="4"/>
      <c r="Z308" s="4"/>
      <c r="AA308" s="4"/>
      <c r="AB308" s="4"/>
      <c r="AC308" s="4"/>
      <c r="AD308" s="4"/>
      <c r="AE308" s="4"/>
      <c r="AF308" s="4"/>
      <c r="AG308"/>
      <c r="AH308"/>
      <c r="AI308"/>
      <c r="AJ308"/>
      <c r="AK308"/>
      <c r="AL308"/>
      <c r="AM308"/>
      <c r="AN308"/>
      <c r="AO308" s="148">
        <f t="shared" si="160"/>
        <v>8.9234000000000009</v>
      </c>
      <c r="AP308" s="195">
        <v>195</v>
      </c>
      <c r="AQ308" s="195" t="s">
        <v>519</v>
      </c>
      <c r="AR308" s="195" t="s">
        <v>524</v>
      </c>
      <c r="AS308" s="195" t="s">
        <v>520</v>
      </c>
      <c r="AT308" s="195" t="s">
        <v>527</v>
      </c>
      <c r="AU308" s="195" t="s">
        <v>530</v>
      </c>
      <c r="AV308" s="195" t="s">
        <v>522</v>
      </c>
      <c r="AW308" s="195" t="s">
        <v>521</v>
      </c>
      <c r="AX308" s="195" t="s">
        <v>526</v>
      </c>
      <c r="AZ308"/>
      <c r="BA308"/>
      <c r="BB308"/>
      <c r="BC308"/>
      <c r="BD308" t="str">
        <f>BE57</f>
        <v>Argentinië</v>
      </c>
      <c r="BE308" s="90" t="str">
        <f>BE51</f>
        <v>Irak</v>
      </c>
      <c r="BF308" s="152" t="str">
        <f>BE21</f>
        <v>Verenigde Staten</v>
      </c>
      <c r="BG308" s="152"/>
    </row>
    <row r="309" spans="1:59" s="90" customFormat="1" ht="14.25" customHeight="1" x14ac:dyDescent="0.2">
      <c r="A309" s="127"/>
      <c r="B309"/>
      <c r="C309" s="134"/>
      <c r="D309"/>
      <c r="E309"/>
      <c r="F309"/>
      <c r="G309"/>
      <c r="H309"/>
      <c r="I309"/>
      <c r="J309"/>
      <c r="K309"/>
      <c r="L309"/>
      <c r="M309"/>
      <c r="N309"/>
      <c r="O309"/>
      <c r="P309"/>
      <c r="Q309"/>
      <c r="R309"/>
      <c r="S309"/>
      <c r="T309"/>
      <c r="U309"/>
      <c r="V309"/>
      <c r="W309"/>
      <c r="X309" s="66"/>
      <c r="Y309" s="4"/>
      <c r="Z309" s="4"/>
      <c r="AA309" s="4"/>
      <c r="AB309" s="4"/>
      <c r="AC309" s="4"/>
      <c r="AD309" s="4"/>
      <c r="AE309" s="4"/>
      <c r="AF309" s="4"/>
      <c r="AG309"/>
      <c r="AH309"/>
      <c r="AI309"/>
      <c r="AJ309"/>
      <c r="AK309"/>
      <c r="AL309"/>
      <c r="AM309"/>
      <c r="AN309"/>
      <c r="AO309" s="148">
        <f t="shared" si="160"/>
        <v>8.9269000000000016</v>
      </c>
      <c r="AP309" s="195">
        <v>196</v>
      </c>
      <c r="AQ309" s="195" t="s">
        <v>523</v>
      </c>
      <c r="AR309" s="195" t="s">
        <v>524</v>
      </c>
      <c r="AS309" s="195" t="s">
        <v>519</v>
      </c>
      <c r="AT309" s="195" t="s">
        <v>527</v>
      </c>
      <c r="AU309" s="195" t="s">
        <v>530</v>
      </c>
      <c r="AV309" s="195" t="s">
        <v>522</v>
      </c>
      <c r="AW309" s="195" t="s">
        <v>525</v>
      </c>
      <c r="AX309" s="195" t="s">
        <v>526</v>
      </c>
      <c r="AZ309"/>
      <c r="BA309"/>
      <c r="BB309"/>
      <c r="BC309"/>
      <c r="BD309" t="str">
        <f>BE58</f>
        <v>Algerije</v>
      </c>
      <c r="BE309" s="90" t="str">
        <f>BE52</f>
        <v>Frankrijk</v>
      </c>
      <c r="BF309" s="152" t="str">
        <f>BE22</f>
        <v>Paraguay</v>
      </c>
      <c r="BG309" s="152"/>
    </row>
    <row r="310" spans="1:59" s="90" customFormat="1" ht="14.25" customHeight="1" x14ac:dyDescent="0.2">
      <c r="A310" s="127"/>
      <c r="B310"/>
      <c r="C310" s="134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/>
      <c r="R310"/>
      <c r="S310"/>
      <c r="T310"/>
      <c r="U310"/>
      <c r="V310"/>
      <c r="W310"/>
      <c r="X310" s="66"/>
      <c r="Y310" s="4"/>
      <c r="Z310" s="4"/>
      <c r="AA310" s="4"/>
      <c r="AB310" s="4"/>
      <c r="AC310" s="4"/>
      <c r="AD310" s="4"/>
      <c r="AE310" s="4"/>
      <c r="AF310" s="4"/>
      <c r="AG310"/>
      <c r="AH310"/>
      <c r="AI310"/>
      <c r="AJ310"/>
      <c r="AK310"/>
      <c r="AL310"/>
      <c r="AM310"/>
      <c r="AN310"/>
      <c r="AO310" s="148">
        <f t="shared" si="160"/>
        <v>8.9251000000000005</v>
      </c>
      <c r="AP310" s="195">
        <v>197</v>
      </c>
      <c r="AQ310" s="195" t="s">
        <v>523</v>
      </c>
      <c r="AR310" s="195" t="s">
        <v>524</v>
      </c>
      <c r="AS310" s="195" t="s">
        <v>520</v>
      </c>
      <c r="AT310" s="195" t="s">
        <v>527</v>
      </c>
      <c r="AU310" s="195" t="s">
        <v>530</v>
      </c>
      <c r="AV310" s="195" t="s">
        <v>522</v>
      </c>
      <c r="AW310" s="195" t="s">
        <v>525</v>
      </c>
      <c r="AX310" s="195" t="s">
        <v>519</v>
      </c>
      <c r="AZ310"/>
      <c r="BA310"/>
      <c r="BB310"/>
      <c r="BC310"/>
      <c r="BD310" t="str">
        <f>BE59</f>
        <v>Oostenrijk</v>
      </c>
      <c r="BE310" s="90" t="str">
        <f>BE53</f>
        <v>Senegal</v>
      </c>
      <c r="BF310" s="152" t="str">
        <f>BE23</f>
        <v>Australië</v>
      </c>
      <c r="BG310" s="152"/>
    </row>
    <row r="311" spans="1:59" s="90" customFormat="1" ht="14.25" customHeight="1" x14ac:dyDescent="0.2">
      <c r="A311" s="127"/>
      <c r="B311"/>
      <c r="C311" s="134"/>
      <c r="D311"/>
      <c r="E311"/>
      <c r="F311"/>
      <c r="G311"/>
      <c r="H311"/>
      <c r="I311"/>
      <c r="J311"/>
      <c r="K311"/>
      <c r="L311"/>
      <c r="M311"/>
      <c r="N311"/>
      <c r="O311"/>
      <c r="P311"/>
      <c r="Q311"/>
      <c r="R311"/>
      <c r="S311"/>
      <c r="T311"/>
      <c r="U311"/>
      <c r="V311"/>
      <c r="W311"/>
      <c r="X311" s="66"/>
      <c r="Y311" s="4"/>
      <c r="Z311" s="4"/>
      <c r="AA311" s="4"/>
      <c r="AB311" s="4"/>
      <c r="AC311" s="4"/>
      <c r="AD311" s="4"/>
      <c r="AE311" s="4"/>
      <c r="AF311" s="4"/>
      <c r="AG311"/>
      <c r="AH311"/>
      <c r="AI311"/>
      <c r="AJ311"/>
      <c r="AK311"/>
      <c r="AL311"/>
      <c r="AM311"/>
      <c r="AN311"/>
      <c r="AO311" s="148">
        <f t="shared" si="160"/>
        <v>8.926400000000001</v>
      </c>
      <c r="AP311" s="195">
        <v>198</v>
      </c>
      <c r="AQ311" s="195" t="s">
        <v>523</v>
      </c>
      <c r="AR311" s="195" t="s">
        <v>524</v>
      </c>
      <c r="AS311" s="195" t="s">
        <v>520</v>
      </c>
      <c r="AT311" s="195" t="s">
        <v>527</v>
      </c>
      <c r="AU311" s="195" t="s">
        <v>530</v>
      </c>
      <c r="AV311" s="195" t="s">
        <v>522</v>
      </c>
      <c r="AW311" s="195" t="s">
        <v>519</v>
      </c>
      <c r="AX311" s="195" t="s">
        <v>526</v>
      </c>
      <c r="AZ311"/>
      <c r="BA311"/>
      <c r="BB311"/>
      <c r="BC311"/>
      <c r="BD311" t="str">
        <f>BE60</f>
        <v>Jordanië</v>
      </c>
      <c r="BE311" s="90" t="str">
        <f>BE54</f>
        <v>Noorwegen</v>
      </c>
      <c r="BF311" s="152" t="str">
        <f>BE24</f>
        <v>Turkije</v>
      </c>
      <c r="BG311" s="152"/>
    </row>
    <row r="312" spans="1:59" s="90" customFormat="1" ht="14.25" customHeight="1" x14ac:dyDescent="0.2">
      <c r="A312" s="127"/>
      <c r="B312"/>
      <c r="C312" s="134"/>
      <c r="D312"/>
      <c r="E312"/>
      <c r="F312"/>
      <c r="G312"/>
      <c r="H312"/>
      <c r="I312"/>
      <c r="J312"/>
      <c r="K312"/>
      <c r="L312"/>
      <c r="M312"/>
      <c r="N312"/>
      <c r="O312"/>
      <c r="P312"/>
      <c r="Q312"/>
      <c r="R312"/>
      <c r="S312"/>
      <c r="T312"/>
      <c r="U312"/>
      <c r="V312"/>
      <c r="W312"/>
      <c r="X312" s="66"/>
      <c r="Y312" s="4"/>
      <c r="Z312" s="4"/>
      <c r="AA312" s="4"/>
      <c r="AB312" s="4"/>
      <c r="AC312" s="4"/>
      <c r="AD312" s="4"/>
      <c r="AE312" s="4"/>
      <c r="AF312" s="4"/>
      <c r="AG312"/>
      <c r="AH312"/>
      <c r="AI312"/>
      <c r="AJ312"/>
      <c r="AK312"/>
      <c r="AL312"/>
      <c r="AM312"/>
      <c r="AN312"/>
      <c r="AO312" s="148">
        <f t="shared" si="160"/>
        <v>8.9254000000000016</v>
      </c>
      <c r="AP312" s="195">
        <v>199</v>
      </c>
      <c r="AQ312" s="195" t="s">
        <v>523</v>
      </c>
      <c r="AR312" s="195" t="s">
        <v>524</v>
      </c>
      <c r="AS312" s="195" t="s">
        <v>519</v>
      </c>
      <c r="AT312" s="195" t="s">
        <v>527</v>
      </c>
      <c r="AU312" s="195" t="s">
        <v>530</v>
      </c>
      <c r="AV312" s="195" t="s">
        <v>522</v>
      </c>
      <c r="AW312" s="195" t="s">
        <v>525</v>
      </c>
      <c r="AX312" s="195" t="s">
        <v>521</v>
      </c>
      <c r="AZ312"/>
      <c r="BA312"/>
      <c r="BB312"/>
      <c r="BC312"/>
      <c r="BE312" s="90" t="str">
        <f>BE57</f>
        <v>Argentinië</v>
      </c>
      <c r="BF312" s="152" t="str">
        <f>BE27</f>
        <v>Duitsland</v>
      </c>
      <c r="BG312" s="152"/>
    </row>
    <row r="313" spans="1:59" s="90" customFormat="1" ht="14.25" customHeight="1" x14ac:dyDescent="0.2">
      <c r="A313" s="127"/>
      <c r="B313"/>
      <c r="C313" s="134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/>
      <c r="R313"/>
      <c r="S313"/>
      <c r="T313"/>
      <c r="U313"/>
      <c r="V313"/>
      <c r="W313"/>
      <c r="X313" s="66"/>
      <c r="Y313" s="4"/>
      <c r="Z313" s="4"/>
      <c r="AA313" s="4"/>
      <c r="AB313" s="4"/>
      <c r="AC313" s="4"/>
      <c r="AD313" s="4"/>
      <c r="AE313" s="4"/>
      <c r="AF313" s="4"/>
      <c r="AG313"/>
      <c r="AH313"/>
      <c r="AI313"/>
      <c r="AJ313"/>
      <c r="AK313"/>
      <c r="AL313"/>
      <c r="AM313"/>
      <c r="AN313"/>
      <c r="AO313" s="148">
        <f t="shared" si="160"/>
        <v>8.9267000000000003</v>
      </c>
      <c r="AP313" s="195">
        <v>200</v>
      </c>
      <c r="AQ313" s="195" t="s">
        <v>523</v>
      </c>
      <c r="AR313" s="195" t="s">
        <v>524</v>
      </c>
      <c r="AS313" s="195" t="s">
        <v>519</v>
      </c>
      <c r="AT313" s="195" t="s">
        <v>527</v>
      </c>
      <c r="AU313" s="195" t="s">
        <v>530</v>
      </c>
      <c r="AV313" s="195" t="s">
        <v>522</v>
      </c>
      <c r="AW313" s="195" t="s">
        <v>521</v>
      </c>
      <c r="AX313" s="195" t="s">
        <v>526</v>
      </c>
      <c r="AZ313"/>
      <c r="BA313"/>
      <c r="BB313"/>
      <c r="BC313"/>
      <c r="BE313" s="90" t="str">
        <f>BE58</f>
        <v>Algerije</v>
      </c>
      <c r="BF313" s="152" t="str">
        <f>BE28</f>
        <v>Curaçao</v>
      </c>
      <c r="BG313" s="152"/>
    </row>
    <row r="314" spans="1:59" s="90" customFormat="1" ht="14.25" customHeight="1" x14ac:dyDescent="0.2">
      <c r="A314" s="127"/>
      <c r="B314"/>
      <c r="C314" s="134"/>
      <c r="D314"/>
      <c r="E314"/>
      <c r="F314"/>
      <c r="G314"/>
      <c r="H314"/>
      <c r="I314"/>
      <c r="J314"/>
      <c r="K314"/>
      <c r="L314"/>
      <c r="M314"/>
      <c r="N314"/>
      <c r="O314"/>
      <c r="P314"/>
      <c r="Q314"/>
      <c r="R314"/>
      <c r="S314"/>
      <c r="T314"/>
      <c r="U314"/>
      <c r="V314"/>
      <c r="W314"/>
      <c r="X314" s="66"/>
      <c r="Y314" s="4"/>
      <c r="Z314" s="4"/>
      <c r="AA314" s="4"/>
      <c r="AB314" s="4"/>
      <c r="AC314" s="4"/>
      <c r="AD314" s="4"/>
      <c r="AE314" s="4"/>
      <c r="AF314" s="4"/>
      <c r="AG314"/>
      <c r="AH314"/>
      <c r="AI314"/>
      <c r="AJ314"/>
      <c r="AK314"/>
      <c r="AL314"/>
      <c r="AM314"/>
      <c r="AN314"/>
      <c r="AO314" s="148">
        <f t="shared" si="160"/>
        <v>8.9249000000000009</v>
      </c>
      <c r="AP314" s="195">
        <v>201</v>
      </c>
      <c r="AQ314" s="195" t="s">
        <v>523</v>
      </c>
      <c r="AR314" s="195" t="s">
        <v>524</v>
      </c>
      <c r="AS314" s="195" t="s">
        <v>520</v>
      </c>
      <c r="AT314" s="195" t="s">
        <v>527</v>
      </c>
      <c r="AU314" s="195" t="s">
        <v>530</v>
      </c>
      <c r="AV314" s="195" t="s">
        <v>522</v>
      </c>
      <c r="AW314" s="195" t="s">
        <v>519</v>
      </c>
      <c r="AX314" s="195" t="s">
        <v>521</v>
      </c>
      <c r="AZ314"/>
      <c r="BA314"/>
      <c r="BB314"/>
      <c r="BC314"/>
      <c r="BE314" s="90" t="str">
        <f>BE59</f>
        <v>Oostenrijk</v>
      </c>
      <c r="BF314" s="152" t="str">
        <f>BE29</f>
        <v>Ivoorkust</v>
      </c>
      <c r="BG314" s="152"/>
    </row>
    <row r="315" spans="1:59" s="90" customFormat="1" ht="14.25" customHeight="1" x14ac:dyDescent="0.2">
      <c r="A315" s="127"/>
      <c r="B315"/>
      <c r="C315" s="134"/>
      <c r="D315"/>
      <c r="E315"/>
      <c r="F315"/>
      <c r="G315"/>
      <c r="H315"/>
      <c r="I315"/>
      <c r="J315"/>
      <c r="K315"/>
      <c r="L315"/>
      <c r="M315"/>
      <c r="N315"/>
      <c r="O315"/>
      <c r="P315"/>
      <c r="Q315"/>
      <c r="R315"/>
      <c r="S315"/>
      <c r="T315"/>
      <c r="U315"/>
      <c r="V315"/>
      <c r="W315"/>
      <c r="X315" s="66"/>
      <c r="Y315" s="4"/>
      <c r="Z315" s="4"/>
      <c r="AA315" s="4"/>
      <c r="AB315" s="4"/>
      <c r="AC315" s="4"/>
      <c r="AD315" s="4"/>
      <c r="AE315" s="4"/>
      <c r="AF315" s="4"/>
      <c r="AG315"/>
      <c r="AH315"/>
      <c r="AI315"/>
      <c r="AJ315"/>
      <c r="AK315"/>
      <c r="AL315"/>
      <c r="AM315"/>
      <c r="AN315"/>
      <c r="AO315" s="148">
        <f t="shared" si="160"/>
        <v>8.9271999999999991</v>
      </c>
      <c r="AP315" s="195">
        <v>202</v>
      </c>
      <c r="AQ315" s="195" t="s">
        <v>523</v>
      </c>
      <c r="AR315" s="195" t="s">
        <v>520</v>
      </c>
      <c r="AS315" s="195" t="s">
        <v>521</v>
      </c>
      <c r="AT315" s="195" t="s">
        <v>528</v>
      </c>
      <c r="AU315" s="195" t="s">
        <v>530</v>
      </c>
      <c r="AV315" s="195" t="s">
        <v>524</v>
      </c>
      <c r="AW315" s="195" t="s">
        <v>525</v>
      </c>
      <c r="AX315" s="195" t="s">
        <v>526</v>
      </c>
      <c r="AZ315"/>
      <c r="BA315"/>
      <c r="BB315"/>
      <c r="BC315"/>
      <c r="BE315" s="90" t="str">
        <f>BE60</f>
        <v>Jordanië</v>
      </c>
      <c r="BF315" s="152" t="str">
        <f>BE30</f>
        <v>Ecuador</v>
      </c>
      <c r="BG315" s="152"/>
    </row>
    <row r="316" spans="1:59" s="90" customFormat="1" ht="14.25" customHeight="1" x14ac:dyDescent="0.2">
      <c r="A316" s="127"/>
      <c r="B316"/>
      <c r="C316" s="134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/>
      <c r="R316"/>
      <c r="S316"/>
      <c r="T316"/>
      <c r="U316"/>
      <c r="V316"/>
      <c r="W316"/>
      <c r="X316" s="66"/>
      <c r="Y316" s="4"/>
      <c r="Z316" s="4"/>
      <c r="AA316" s="4"/>
      <c r="AB316" s="4"/>
      <c r="AC316" s="4"/>
      <c r="AD316" s="4"/>
      <c r="AE316" s="4"/>
      <c r="AF316" s="4"/>
      <c r="AG316"/>
      <c r="AH316"/>
      <c r="AI316"/>
      <c r="AJ316"/>
      <c r="AK316"/>
      <c r="AL316"/>
      <c r="AM316"/>
      <c r="AN316"/>
      <c r="AO316" s="148">
        <f t="shared" si="160"/>
        <v>8.9281000000000006</v>
      </c>
      <c r="AP316" s="195">
        <v>203</v>
      </c>
      <c r="AQ316" s="195" t="s">
        <v>523</v>
      </c>
      <c r="AR316" s="195" t="s">
        <v>520</v>
      </c>
      <c r="AS316" s="195" t="s">
        <v>521</v>
      </c>
      <c r="AT316" s="195" t="s">
        <v>528</v>
      </c>
      <c r="AU316" s="195" t="s">
        <v>530</v>
      </c>
      <c r="AV316" s="195" t="s">
        <v>522</v>
      </c>
      <c r="AW316" s="195" t="s">
        <v>525</v>
      </c>
      <c r="AX316" s="195" t="s">
        <v>526</v>
      </c>
      <c r="AZ316"/>
      <c r="BA316"/>
      <c r="BB316"/>
      <c r="BC316"/>
      <c r="BD316"/>
      <c r="BE316"/>
      <c r="BF316" s="152" t="str">
        <f>BE33</f>
        <v>Nederland</v>
      </c>
      <c r="BG316" s="152"/>
    </row>
    <row r="317" spans="1:59" s="90" customFormat="1" ht="14.25" customHeight="1" x14ac:dyDescent="0.2">
      <c r="A317" s="127"/>
      <c r="B317"/>
      <c r="C317" s="134"/>
      <c r="D317"/>
      <c r="E317"/>
      <c r="F317"/>
      <c r="G317"/>
      <c r="H317"/>
      <c r="I317"/>
      <c r="J317"/>
      <c r="K317"/>
      <c r="L317"/>
      <c r="M317"/>
      <c r="N317"/>
      <c r="O317"/>
      <c r="P317"/>
      <c r="Q317"/>
      <c r="R317"/>
      <c r="S317"/>
      <c r="T317"/>
      <c r="U317"/>
      <c r="V317"/>
      <c r="W317"/>
      <c r="X317" s="66"/>
      <c r="Y317" s="4"/>
      <c r="Z317" s="4"/>
      <c r="AA317" s="4"/>
      <c r="AB317" s="4"/>
      <c r="AC317" s="4"/>
      <c r="AD317" s="4"/>
      <c r="AE317" s="4"/>
      <c r="AF317" s="4"/>
      <c r="AG317"/>
      <c r="AH317"/>
      <c r="AI317"/>
      <c r="AJ317"/>
      <c r="AK317"/>
      <c r="AL317"/>
      <c r="AM317"/>
      <c r="AN317"/>
      <c r="AO317" s="148">
        <f t="shared" si="160"/>
        <v>8.9249000000000009</v>
      </c>
      <c r="AP317" s="195">
        <v>204</v>
      </c>
      <c r="AQ317" s="195" t="s">
        <v>521</v>
      </c>
      <c r="AR317" s="195" t="s">
        <v>524</v>
      </c>
      <c r="AS317" s="195" t="s">
        <v>520</v>
      </c>
      <c r="AT317" s="195" t="s">
        <v>528</v>
      </c>
      <c r="AU317" s="195" t="s">
        <v>530</v>
      </c>
      <c r="AV317" s="195" t="s">
        <v>522</v>
      </c>
      <c r="AW317" s="195" t="s">
        <v>525</v>
      </c>
      <c r="AX317" s="195" t="s">
        <v>526</v>
      </c>
      <c r="AZ317"/>
      <c r="BA317"/>
      <c r="BB317"/>
      <c r="BC317"/>
      <c r="BD317" s="91" t="s">
        <v>701</v>
      </c>
      <c r="BE317" s="212" t="s">
        <v>710</v>
      </c>
      <c r="BF317" s="152" t="str">
        <f>BE34</f>
        <v>Japan</v>
      </c>
      <c r="BG317" s="152"/>
    </row>
    <row r="318" spans="1:59" s="90" customFormat="1" ht="14.25" customHeight="1" x14ac:dyDescent="0.2">
      <c r="A318" s="127"/>
      <c r="B318"/>
      <c r="C318" s="134"/>
      <c r="D318"/>
      <c r="E318"/>
      <c r="F318"/>
      <c r="G318"/>
      <c r="H318"/>
      <c r="I318"/>
      <c r="J318"/>
      <c r="K318"/>
      <c r="L318"/>
      <c r="M318"/>
      <c r="N318"/>
      <c r="O318"/>
      <c r="P318"/>
      <c r="Q318"/>
      <c r="R318"/>
      <c r="S318"/>
      <c r="T318"/>
      <c r="U318"/>
      <c r="V318"/>
      <c r="W318"/>
      <c r="X318" s="66"/>
      <c r="Y318" s="4"/>
      <c r="Z318" s="4"/>
      <c r="AA318" s="4"/>
      <c r="AB318" s="4"/>
      <c r="AC318" s="4"/>
      <c r="AD318" s="4"/>
      <c r="AE318" s="4"/>
      <c r="AF318" s="4"/>
      <c r="AG318"/>
      <c r="AH318"/>
      <c r="AI318"/>
      <c r="AJ318"/>
      <c r="AK318"/>
      <c r="AL318"/>
      <c r="AM318"/>
      <c r="AN318"/>
      <c r="AO318" s="148">
        <f t="shared" si="160"/>
        <v>8.9279000000000011</v>
      </c>
      <c r="AP318" s="195">
        <v>205</v>
      </c>
      <c r="AQ318" s="195" t="s">
        <v>523</v>
      </c>
      <c r="AR318" s="195" t="s">
        <v>524</v>
      </c>
      <c r="AS318" s="195" t="s">
        <v>520</v>
      </c>
      <c r="AT318" s="195" t="s">
        <v>528</v>
      </c>
      <c r="AU318" s="195" t="s">
        <v>530</v>
      </c>
      <c r="AV318" s="195" t="s">
        <v>522</v>
      </c>
      <c r="AW318" s="195" t="s">
        <v>525</v>
      </c>
      <c r="AX318" s="195" t="s">
        <v>526</v>
      </c>
      <c r="AZ318"/>
      <c r="BA318"/>
      <c r="BB318"/>
      <c r="BC318"/>
      <c r="BD318" t="str">
        <f>BE21</f>
        <v>Verenigde Staten</v>
      </c>
      <c r="BE318" s="90" t="str">
        <f>BE21</f>
        <v>Verenigde Staten</v>
      </c>
      <c r="BF318" s="152" t="str">
        <f t="shared" ref="BF318:BF319" si="161">BE35</f>
        <v>Tunesië</v>
      </c>
      <c r="BG318" s="152"/>
    </row>
    <row r="319" spans="1:59" s="90" customFormat="1" ht="14.25" customHeight="1" x14ac:dyDescent="0.2">
      <c r="A319" s="127"/>
      <c r="B319"/>
      <c r="C319" s="134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/>
      <c r="R319"/>
      <c r="S319"/>
      <c r="T319"/>
      <c r="U319"/>
      <c r="V319"/>
      <c r="W319"/>
      <c r="X319" s="66"/>
      <c r="Y319" s="4"/>
      <c r="Z319" s="4"/>
      <c r="AA319" s="4"/>
      <c r="AB319" s="4"/>
      <c r="AC319" s="4"/>
      <c r="AD319" s="4"/>
      <c r="AE319" s="4"/>
      <c r="AF319" s="4"/>
      <c r="AG319"/>
      <c r="AH319"/>
      <c r="AI319"/>
      <c r="AJ319"/>
      <c r="AK319"/>
      <c r="AL319"/>
      <c r="AM319"/>
      <c r="AN319"/>
      <c r="AO319" s="148">
        <f t="shared" si="160"/>
        <v>8.9282000000000004</v>
      </c>
      <c r="AP319" s="195">
        <v>206</v>
      </c>
      <c r="AQ319" s="195" t="s">
        <v>523</v>
      </c>
      <c r="AR319" s="195" t="s">
        <v>524</v>
      </c>
      <c r="AS319" s="195" t="s">
        <v>521</v>
      </c>
      <c r="AT319" s="195" t="s">
        <v>528</v>
      </c>
      <c r="AU319" s="195" t="s">
        <v>530</v>
      </c>
      <c r="AV319" s="195" t="s">
        <v>522</v>
      </c>
      <c r="AW319" s="195" t="s">
        <v>525</v>
      </c>
      <c r="AX319" s="195" t="s">
        <v>526</v>
      </c>
      <c r="AZ319"/>
      <c r="BA319"/>
      <c r="BB319"/>
      <c r="BC319"/>
      <c r="BD319" t="str">
        <f>BE22</f>
        <v>Paraguay</v>
      </c>
      <c r="BE319" s="90" t="str">
        <f>BE22</f>
        <v>Paraguay</v>
      </c>
      <c r="BF319" s="152" t="str">
        <f t="shared" si="161"/>
        <v>Zweden</v>
      </c>
      <c r="BG319" s="152"/>
    </row>
    <row r="320" spans="1:59" s="90" customFormat="1" ht="14.25" customHeight="1" x14ac:dyDescent="0.2">
      <c r="A320" s="127"/>
      <c r="B320"/>
      <c r="C320" s="134"/>
      <c r="D320"/>
      <c r="E320"/>
      <c r="F320"/>
      <c r="G320"/>
      <c r="H320"/>
      <c r="I320"/>
      <c r="J320"/>
      <c r="K320"/>
      <c r="L320"/>
      <c r="M320"/>
      <c r="N320"/>
      <c r="O320"/>
      <c r="P320"/>
      <c r="Q320"/>
      <c r="R320"/>
      <c r="S320"/>
      <c r="T320"/>
      <c r="U320"/>
      <c r="V320"/>
      <c r="W320"/>
      <c r="X320" s="66"/>
      <c r="Y320" s="4"/>
      <c r="Z320" s="4"/>
      <c r="AA320" s="4"/>
      <c r="AB320" s="4"/>
      <c r="AC320" s="4"/>
      <c r="AD320" s="4"/>
      <c r="AE320" s="4"/>
      <c r="AF320" s="4"/>
      <c r="AG320"/>
      <c r="AH320"/>
      <c r="AI320"/>
      <c r="AJ320"/>
      <c r="AK320"/>
      <c r="AL320"/>
      <c r="AM320"/>
      <c r="AN320"/>
      <c r="AO320" s="148">
        <f t="shared" si="160"/>
        <v>8.926400000000001</v>
      </c>
      <c r="AP320" s="195">
        <v>207</v>
      </c>
      <c r="AQ320" s="195" t="s">
        <v>523</v>
      </c>
      <c r="AR320" s="195" t="s">
        <v>524</v>
      </c>
      <c r="AS320" s="195" t="s">
        <v>520</v>
      </c>
      <c r="AT320" s="195" t="s">
        <v>528</v>
      </c>
      <c r="AU320" s="195" t="s">
        <v>530</v>
      </c>
      <c r="AV320" s="195" t="s">
        <v>522</v>
      </c>
      <c r="AW320" s="195" t="s">
        <v>525</v>
      </c>
      <c r="AX320" s="195" t="s">
        <v>521</v>
      </c>
      <c r="AZ320"/>
      <c r="BA320"/>
      <c r="BB320"/>
      <c r="BC320"/>
      <c r="BD320" t="str">
        <f>BE23</f>
        <v>Australië</v>
      </c>
      <c r="BE320" s="90" t="str">
        <f>BE23</f>
        <v>Australië</v>
      </c>
      <c r="BF320" s="152" t="str">
        <f>BE39</f>
        <v>België</v>
      </c>
      <c r="BG320" s="152"/>
    </row>
    <row r="321" spans="1:59" s="90" customFormat="1" ht="14.25" customHeight="1" x14ac:dyDescent="0.2">
      <c r="A321" s="127"/>
      <c r="B321"/>
      <c r="C321" s="134"/>
      <c r="D321"/>
      <c r="E321"/>
      <c r="F321"/>
      <c r="G321"/>
      <c r="H321"/>
      <c r="I321"/>
      <c r="J321"/>
      <c r="K321"/>
      <c r="L321"/>
      <c r="M321"/>
      <c r="N321"/>
      <c r="O321"/>
      <c r="P321"/>
      <c r="Q321"/>
      <c r="R321"/>
      <c r="S321"/>
      <c r="T321"/>
      <c r="U321"/>
      <c r="V321"/>
      <c r="W321"/>
      <c r="X321" s="66"/>
      <c r="Y321" s="4"/>
      <c r="Z321" s="4"/>
      <c r="AA321" s="4"/>
      <c r="AB321" s="4"/>
      <c r="AC321" s="4"/>
      <c r="AD321" s="4"/>
      <c r="AE321" s="4"/>
      <c r="AF321" s="4"/>
      <c r="AG321"/>
      <c r="AH321"/>
      <c r="AI321"/>
      <c r="AJ321"/>
      <c r="AK321"/>
      <c r="AL321"/>
      <c r="AM321"/>
      <c r="AN321"/>
      <c r="AO321" s="148">
        <f t="shared" si="160"/>
        <v>8.9277000000000015</v>
      </c>
      <c r="AP321" s="195">
        <v>208</v>
      </c>
      <c r="AQ321" s="195" t="s">
        <v>523</v>
      </c>
      <c r="AR321" s="195" t="s">
        <v>524</v>
      </c>
      <c r="AS321" s="195" t="s">
        <v>520</v>
      </c>
      <c r="AT321" s="195" t="s">
        <v>528</v>
      </c>
      <c r="AU321" s="195" t="s">
        <v>530</v>
      </c>
      <c r="AV321" s="195" t="s">
        <v>522</v>
      </c>
      <c r="AW321" s="195" t="s">
        <v>521</v>
      </c>
      <c r="AX321" s="195" t="s">
        <v>526</v>
      </c>
      <c r="AZ321"/>
      <c r="BA321"/>
      <c r="BB321"/>
      <c r="BC321"/>
      <c r="BD321" t="str">
        <f>BE24</f>
        <v>Turkije</v>
      </c>
      <c r="BE321" s="90" t="str">
        <f>BE24</f>
        <v>Turkije</v>
      </c>
      <c r="BF321" s="152" t="str">
        <f>BE40</f>
        <v>Egypte</v>
      </c>
      <c r="BG321" s="152"/>
    </row>
    <row r="322" spans="1:59" s="90" customFormat="1" ht="14.25" customHeight="1" x14ac:dyDescent="0.2">
      <c r="A322" s="127"/>
      <c r="B322"/>
      <c r="C322" s="134"/>
      <c r="D322"/>
      <c r="E322"/>
      <c r="F322"/>
      <c r="G322"/>
      <c r="H322"/>
      <c r="I322"/>
      <c r="J322"/>
      <c r="K322"/>
      <c r="L322"/>
      <c r="M322"/>
      <c r="N322"/>
      <c r="O322"/>
      <c r="P322"/>
      <c r="Q322"/>
      <c r="R322"/>
      <c r="S322"/>
      <c r="T322"/>
      <c r="U322"/>
      <c r="V322"/>
      <c r="W322"/>
      <c r="X322" s="66"/>
      <c r="Y322" s="4"/>
      <c r="Z322" s="4"/>
      <c r="AA322" s="4"/>
      <c r="AB322" s="4"/>
      <c r="AC322" s="4"/>
      <c r="AD322" s="4"/>
      <c r="AE322" s="4"/>
      <c r="AF322" s="4"/>
      <c r="AG322"/>
      <c r="AH322"/>
      <c r="AI322"/>
      <c r="AJ322"/>
      <c r="AK322"/>
      <c r="AL322"/>
      <c r="AM322"/>
      <c r="AN322"/>
      <c r="AO322" s="148">
        <f t="shared" si="160"/>
        <v>8.9277000000000015</v>
      </c>
      <c r="AP322" s="195">
        <v>209</v>
      </c>
      <c r="AQ322" s="195" t="s">
        <v>519</v>
      </c>
      <c r="AR322" s="195" t="s">
        <v>520</v>
      </c>
      <c r="AS322" s="195" t="s">
        <v>521</v>
      </c>
      <c r="AT322" s="195" t="s">
        <v>528</v>
      </c>
      <c r="AU322" s="195" t="s">
        <v>530</v>
      </c>
      <c r="AV322" s="195" t="s">
        <v>523</v>
      </c>
      <c r="AW322" s="195" t="s">
        <v>525</v>
      </c>
      <c r="AX322" s="195" t="s">
        <v>526</v>
      </c>
      <c r="AZ322"/>
      <c r="BA322"/>
      <c r="BB322"/>
      <c r="BC322"/>
      <c r="BD322" t="str">
        <f>BE27</f>
        <v>Duitsland</v>
      </c>
      <c r="BE322" s="90" t="str">
        <f>BE27</f>
        <v>Duitsland</v>
      </c>
      <c r="BF322" s="152" t="str">
        <f>BE41</f>
        <v>Iran</v>
      </c>
      <c r="BG322" s="152"/>
    </row>
    <row r="323" spans="1:59" s="90" customFormat="1" ht="14.25" customHeight="1" x14ac:dyDescent="0.2">
      <c r="A323" s="127"/>
      <c r="B323"/>
      <c r="C323" s="134"/>
      <c r="D323"/>
      <c r="E323"/>
      <c r="F323"/>
      <c r="G323"/>
      <c r="H323"/>
      <c r="I323"/>
      <c r="J323"/>
      <c r="K323"/>
      <c r="L323"/>
      <c r="M323"/>
      <c r="N323"/>
      <c r="O323"/>
      <c r="P323"/>
      <c r="Q323"/>
      <c r="R323"/>
      <c r="S323"/>
      <c r="T323"/>
      <c r="U323"/>
      <c r="V323"/>
      <c r="W323"/>
      <c r="X323" s="66"/>
      <c r="Y323" s="4"/>
      <c r="Z323" s="4"/>
      <c r="AA323" s="4"/>
      <c r="AB323" s="4"/>
      <c r="AC323" s="4"/>
      <c r="AD323" s="4"/>
      <c r="AE323" s="4"/>
      <c r="AF323" s="4"/>
      <c r="AG323"/>
      <c r="AH323"/>
      <c r="AI323"/>
      <c r="AJ323"/>
      <c r="AK323"/>
      <c r="AL323"/>
      <c r="AM323"/>
      <c r="AN323"/>
      <c r="AO323" s="148">
        <f t="shared" si="160"/>
        <v>8.9245000000000019</v>
      </c>
      <c r="AP323" s="195">
        <v>210</v>
      </c>
      <c r="AQ323" s="195" t="s">
        <v>519</v>
      </c>
      <c r="AR323" s="195" t="s">
        <v>520</v>
      </c>
      <c r="AS323" s="195" t="s">
        <v>521</v>
      </c>
      <c r="AT323" s="195" t="s">
        <v>528</v>
      </c>
      <c r="AU323" s="195" t="s">
        <v>530</v>
      </c>
      <c r="AV323" s="195" t="s">
        <v>524</v>
      </c>
      <c r="AW323" s="195" t="s">
        <v>525</v>
      </c>
      <c r="AX323" s="195" t="s">
        <v>526</v>
      </c>
      <c r="AZ323"/>
      <c r="BA323"/>
      <c r="BB323"/>
      <c r="BC323"/>
      <c r="BD323" t="str">
        <f>BE28</f>
        <v>Curaçao</v>
      </c>
      <c r="BE323" s="90" t="str">
        <f>BE28</f>
        <v>Curaçao</v>
      </c>
      <c r="BF323" s="152" t="str">
        <f>BE42</f>
        <v>Nieuw-Zeeland</v>
      </c>
      <c r="BG323" s="152"/>
    </row>
    <row r="324" spans="1:59" s="90" customFormat="1" ht="14.25" customHeight="1" x14ac:dyDescent="0.2">
      <c r="A324" s="127"/>
      <c r="B324"/>
      <c r="C324" s="134"/>
      <c r="D324"/>
      <c r="E324"/>
      <c r="F324"/>
      <c r="G324"/>
      <c r="H324"/>
      <c r="I324"/>
      <c r="J324"/>
      <c r="K324"/>
      <c r="L324"/>
      <c r="M324"/>
      <c r="N324"/>
      <c r="O324"/>
      <c r="P324"/>
      <c r="Q324"/>
      <c r="R324"/>
      <c r="S324"/>
      <c r="T324"/>
      <c r="U324"/>
      <c r="V324"/>
      <c r="W324"/>
      <c r="X324" s="66"/>
      <c r="Y324" s="4"/>
      <c r="Z324" s="4"/>
      <c r="AA324" s="4"/>
      <c r="AB324" s="4"/>
      <c r="AC324" s="4"/>
      <c r="AD324" s="4"/>
      <c r="AE324" s="4"/>
      <c r="AF324" s="4"/>
      <c r="AG324"/>
      <c r="AH324"/>
      <c r="AI324"/>
      <c r="AJ324"/>
      <c r="AK324"/>
      <c r="AL324"/>
      <c r="AM324"/>
      <c r="AN324"/>
      <c r="AO324" s="148">
        <f t="shared" si="160"/>
        <v>8.927500000000002</v>
      </c>
      <c r="AP324" s="195">
        <v>211</v>
      </c>
      <c r="AQ324" s="195" t="s">
        <v>519</v>
      </c>
      <c r="AR324" s="195" t="s">
        <v>524</v>
      </c>
      <c r="AS324" s="195" t="s">
        <v>520</v>
      </c>
      <c r="AT324" s="195" t="s">
        <v>528</v>
      </c>
      <c r="AU324" s="195" t="s">
        <v>530</v>
      </c>
      <c r="AV324" s="195" t="s">
        <v>523</v>
      </c>
      <c r="AW324" s="195" t="s">
        <v>525</v>
      </c>
      <c r="AX324" s="195" t="s">
        <v>526</v>
      </c>
      <c r="AZ324"/>
      <c r="BA324"/>
      <c r="BB324"/>
      <c r="BC324"/>
      <c r="BD324" t="str">
        <f>BE29</f>
        <v>Ivoorkust</v>
      </c>
      <c r="BE324" s="90" t="str">
        <f>BE29</f>
        <v>Ivoorkust</v>
      </c>
      <c r="BF324" s="152" t="str">
        <f>BE45</f>
        <v>Spanje</v>
      </c>
      <c r="BG324" s="152"/>
    </row>
    <row r="325" spans="1:59" s="90" customFormat="1" ht="14.25" customHeight="1" x14ac:dyDescent="0.2">
      <c r="A325" s="127"/>
      <c r="B325"/>
      <c r="C325" s="134"/>
      <c r="D325"/>
      <c r="E325"/>
      <c r="F325"/>
      <c r="G325"/>
      <c r="H325"/>
      <c r="I325"/>
      <c r="J325"/>
      <c r="K325"/>
      <c r="L325"/>
      <c r="M325"/>
      <c r="N325"/>
      <c r="O325"/>
      <c r="P325"/>
      <c r="Q325"/>
      <c r="R325"/>
      <c r="S325"/>
      <c r="T325"/>
      <c r="U325"/>
      <c r="V325"/>
      <c r="W325"/>
      <c r="X325" s="66"/>
      <c r="Y325" s="4"/>
      <c r="Z325" s="4"/>
      <c r="AA325" s="4"/>
      <c r="AB325" s="4"/>
      <c r="AC325" s="4"/>
      <c r="AD325" s="4"/>
      <c r="AE325" s="4"/>
      <c r="AF325" s="4"/>
      <c r="AG325"/>
      <c r="AH325"/>
      <c r="AI325"/>
      <c r="AJ325"/>
      <c r="AK325"/>
      <c r="AL325"/>
      <c r="AM325"/>
      <c r="AN325"/>
      <c r="AO325" s="148">
        <f t="shared" si="160"/>
        <v>8.9278000000000013</v>
      </c>
      <c r="AP325" s="195">
        <v>212</v>
      </c>
      <c r="AQ325" s="195" t="s">
        <v>519</v>
      </c>
      <c r="AR325" s="195" t="s">
        <v>524</v>
      </c>
      <c r="AS325" s="195" t="s">
        <v>521</v>
      </c>
      <c r="AT325" s="195" t="s">
        <v>528</v>
      </c>
      <c r="AU325" s="195" t="s">
        <v>530</v>
      </c>
      <c r="AV325" s="195" t="s">
        <v>523</v>
      </c>
      <c r="AW325" s="195" t="s">
        <v>525</v>
      </c>
      <c r="AX325" s="195" t="s">
        <v>526</v>
      </c>
      <c r="AZ325"/>
      <c r="BA325"/>
      <c r="BB325"/>
      <c r="BC325"/>
      <c r="BD325" t="str">
        <f>BE30</f>
        <v>Ecuador</v>
      </c>
      <c r="BE325" s="90" t="str">
        <f>BE30</f>
        <v>Ecuador</v>
      </c>
      <c r="BF325" s="152" t="str">
        <f>BE46</f>
        <v>Kaapverdië</v>
      </c>
      <c r="BG325" s="152"/>
    </row>
    <row r="326" spans="1:59" s="90" customFormat="1" ht="14.25" customHeight="1" x14ac:dyDescent="0.2">
      <c r="A326" s="127"/>
      <c r="B326"/>
      <c r="C326" s="134"/>
      <c r="D326"/>
      <c r="E326"/>
      <c r="F326"/>
      <c r="G326"/>
      <c r="H326"/>
      <c r="I326"/>
      <c r="J326"/>
      <c r="K326"/>
      <c r="L326"/>
      <c r="M326"/>
      <c r="N326"/>
      <c r="O326"/>
      <c r="P326"/>
      <c r="Q326"/>
      <c r="R326"/>
      <c r="S326"/>
      <c r="T326"/>
      <c r="U326"/>
      <c r="V326"/>
      <c r="W326"/>
      <c r="X326" s="66"/>
      <c r="Y326" s="4"/>
      <c r="Z326" s="4"/>
      <c r="AA326" s="4"/>
      <c r="AB326" s="4"/>
      <c r="AC326" s="4"/>
      <c r="AD326" s="4"/>
      <c r="AE326" s="4"/>
      <c r="AF326" s="4"/>
      <c r="AG326"/>
      <c r="AH326"/>
      <c r="AI326"/>
      <c r="AJ326"/>
      <c r="AK326"/>
      <c r="AL326"/>
      <c r="AM326"/>
      <c r="AN326"/>
      <c r="AO326" s="148">
        <f t="shared" si="160"/>
        <v>8.9260000000000019</v>
      </c>
      <c r="AP326" s="195">
        <v>213</v>
      </c>
      <c r="AQ326" s="195" t="s">
        <v>519</v>
      </c>
      <c r="AR326" s="195" t="s">
        <v>524</v>
      </c>
      <c r="AS326" s="195" t="s">
        <v>520</v>
      </c>
      <c r="AT326" s="195" t="s">
        <v>528</v>
      </c>
      <c r="AU326" s="195" t="s">
        <v>530</v>
      </c>
      <c r="AV326" s="195" t="s">
        <v>523</v>
      </c>
      <c r="AW326" s="195" t="s">
        <v>525</v>
      </c>
      <c r="AX326" s="195" t="s">
        <v>521</v>
      </c>
      <c r="AZ326"/>
      <c r="BA326"/>
      <c r="BB326"/>
      <c r="BC326"/>
      <c r="BD326" t="str">
        <f>BE51</f>
        <v>Irak</v>
      </c>
      <c r="BE326" s="90" t="str">
        <f>BE51</f>
        <v>Irak</v>
      </c>
      <c r="BF326" s="152" t="str">
        <f>BE47</f>
        <v>Saoedi-Arabië</v>
      </c>
      <c r="BG326" s="152"/>
    </row>
    <row r="327" spans="1:59" s="90" customFormat="1" ht="14.25" customHeight="1" x14ac:dyDescent="0.2">
      <c r="A327" s="127"/>
      <c r="B327"/>
      <c r="C327" s="134"/>
      <c r="D327"/>
      <c r="E327"/>
      <c r="F327"/>
      <c r="G327"/>
      <c r="H327"/>
      <c r="I327"/>
      <c r="J327"/>
      <c r="K327"/>
      <c r="L327"/>
      <c r="M327"/>
      <c r="N327"/>
      <c r="O327"/>
      <c r="P327"/>
      <c r="Q327"/>
      <c r="R327"/>
      <c r="S327"/>
      <c r="T327"/>
      <c r="U327"/>
      <c r="V327"/>
      <c r="W327"/>
      <c r="X327" s="66"/>
      <c r="Y327" s="4"/>
      <c r="Z327" s="4"/>
      <c r="AA327" s="4"/>
      <c r="AB327" s="4"/>
      <c r="AC327" s="4"/>
      <c r="AD327" s="4"/>
      <c r="AE327" s="4"/>
      <c r="AF327" s="4"/>
      <c r="AG327"/>
      <c r="AH327"/>
      <c r="AI327"/>
      <c r="AJ327"/>
      <c r="AK327"/>
      <c r="AL327"/>
      <c r="AM327"/>
      <c r="AN327"/>
      <c r="AO327" s="148">
        <f t="shared" si="160"/>
        <v>8.9273000000000007</v>
      </c>
      <c r="AP327" s="195">
        <v>214</v>
      </c>
      <c r="AQ327" s="195" t="s">
        <v>519</v>
      </c>
      <c r="AR327" s="195" t="s">
        <v>524</v>
      </c>
      <c r="AS327" s="195" t="s">
        <v>520</v>
      </c>
      <c r="AT327" s="195" t="s">
        <v>528</v>
      </c>
      <c r="AU327" s="195" t="s">
        <v>530</v>
      </c>
      <c r="AV327" s="195" t="s">
        <v>523</v>
      </c>
      <c r="AW327" s="195" t="s">
        <v>521</v>
      </c>
      <c r="AX327" s="195" t="s">
        <v>526</v>
      </c>
      <c r="AZ327"/>
      <c r="BA327"/>
      <c r="BB327"/>
      <c r="BC327"/>
      <c r="BD327" t="str">
        <f>BE52</f>
        <v>Frankrijk</v>
      </c>
      <c r="BE327" s="90" t="str">
        <f>BE52</f>
        <v>Frankrijk</v>
      </c>
      <c r="BF327" s="152" t="str">
        <f>BE48</f>
        <v>Uruguay</v>
      </c>
      <c r="BG327" s="152"/>
    </row>
    <row r="328" spans="1:59" s="90" customFormat="1" ht="14.25" customHeight="1" x14ac:dyDescent="0.2">
      <c r="A328" s="127"/>
      <c r="B328"/>
      <c r="C328" s="134"/>
      <c r="D328"/>
      <c r="E328"/>
      <c r="F328"/>
      <c r="G328"/>
      <c r="H328"/>
      <c r="I328"/>
      <c r="J328"/>
      <c r="K328"/>
      <c r="L328"/>
      <c r="M328"/>
      <c r="N328"/>
      <c r="O328"/>
      <c r="P328"/>
      <c r="Q328"/>
      <c r="R328"/>
      <c r="S328"/>
      <c r="T328"/>
      <c r="U328"/>
      <c r="V328"/>
      <c r="W328"/>
      <c r="X328" s="66"/>
      <c r="Y328" s="4"/>
      <c r="Z328" s="4"/>
      <c r="AA328" s="4"/>
      <c r="AB328" s="4"/>
      <c r="AC328" s="4"/>
      <c r="AD328" s="4"/>
      <c r="AE328" s="4"/>
      <c r="AF328" s="4"/>
      <c r="AG328"/>
      <c r="AH328"/>
      <c r="AI328"/>
      <c r="AJ328"/>
      <c r="AK328"/>
      <c r="AL328"/>
      <c r="AM328"/>
      <c r="AN328"/>
      <c r="AO328" s="148">
        <f t="shared" si="160"/>
        <v>8.9253999999999998</v>
      </c>
      <c r="AP328" s="195">
        <v>215</v>
      </c>
      <c r="AQ328" s="195" t="s">
        <v>519</v>
      </c>
      <c r="AR328" s="195" t="s">
        <v>520</v>
      </c>
      <c r="AS328" s="195" t="s">
        <v>521</v>
      </c>
      <c r="AT328" s="195" t="s">
        <v>528</v>
      </c>
      <c r="AU328" s="195" t="s">
        <v>530</v>
      </c>
      <c r="AV328" s="195" t="s">
        <v>522</v>
      </c>
      <c r="AW328" s="195" t="s">
        <v>525</v>
      </c>
      <c r="AX328" s="195" t="s">
        <v>526</v>
      </c>
      <c r="AZ328"/>
      <c r="BA328"/>
      <c r="BB328"/>
      <c r="BC328"/>
      <c r="BD328" t="str">
        <f>BE53</f>
        <v>Senegal</v>
      </c>
      <c r="BE328" s="90" t="str">
        <f>BE53</f>
        <v>Senegal</v>
      </c>
      <c r="BF328" s="152" t="str">
        <f>BE51</f>
        <v>Irak</v>
      </c>
      <c r="BG328" s="152"/>
    </row>
    <row r="329" spans="1:59" s="90" customFormat="1" ht="14.25" customHeight="1" x14ac:dyDescent="0.2">
      <c r="A329" s="127"/>
      <c r="B329"/>
      <c r="C329" s="134"/>
      <c r="D329"/>
      <c r="E329"/>
      <c r="F329"/>
      <c r="G329"/>
      <c r="H329"/>
      <c r="I329"/>
      <c r="J329"/>
      <c r="K329"/>
      <c r="L329"/>
      <c r="M329"/>
      <c r="N329"/>
      <c r="O329"/>
      <c r="P329"/>
      <c r="Q329"/>
      <c r="R329"/>
      <c r="S329"/>
      <c r="T329"/>
      <c r="U329"/>
      <c r="V329"/>
      <c r="W329"/>
      <c r="X329" s="66"/>
      <c r="Y329" s="4"/>
      <c r="Z329" s="4"/>
      <c r="AA329" s="4"/>
      <c r="AB329" s="4"/>
      <c r="AC329" s="4"/>
      <c r="AD329" s="4"/>
      <c r="AE329" s="4"/>
      <c r="AF329" s="4"/>
      <c r="AG329"/>
      <c r="AH329"/>
      <c r="AI329"/>
      <c r="AJ329"/>
      <c r="AK329"/>
      <c r="AL329"/>
      <c r="AM329"/>
      <c r="AN329"/>
      <c r="AO329" s="148">
        <f t="shared" si="160"/>
        <v>8.9283999999999999</v>
      </c>
      <c r="AP329" s="195">
        <v>216</v>
      </c>
      <c r="AQ329" s="195" t="s">
        <v>523</v>
      </c>
      <c r="AR329" s="195" t="s">
        <v>520</v>
      </c>
      <c r="AS329" s="195" t="s">
        <v>519</v>
      </c>
      <c r="AT329" s="195" t="s">
        <v>528</v>
      </c>
      <c r="AU329" s="195" t="s">
        <v>530</v>
      </c>
      <c r="AV329" s="195" t="s">
        <v>522</v>
      </c>
      <c r="AW329" s="195" t="s">
        <v>525</v>
      </c>
      <c r="AX329" s="195" t="s">
        <v>526</v>
      </c>
      <c r="AZ329"/>
      <c r="BA329"/>
      <c r="BB329"/>
      <c r="BC329"/>
      <c r="BD329" t="str">
        <f>BE54</f>
        <v>Noorwegen</v>
      </c>
      <c r="BE329" s="90" t="str">
        <f>BE54</f>
        <v>Noorwegen</v>
      </c>
      <c r="BF329" s="152" t="str">
        <f>BE52</f>
        <v>Frankrijk</v>
      </c>
      <c r="BG329" s="152"/>
    </row>
    <row r="330" spans="1:59" s="90" customFormat="1" ht="14.25" customHeight="1" x14ac:dyDescent="0.2">
      <c r="A330" s="127"/>
      <c r="B330"/>
      <c r="C330" s="134"/>
      <c r="D330"/>
      <c r="E330"/>
      <c r="F330"/>
      <c r="G330"/>
      <c r="H330"/>
      <c r="I330"/>
      <c r="J330"/>
      <c r="K330"/>
      <c r="L330"/>
      <c r="M330"/>
      <c r="N330"/>
      <c r="O330"/>
      <c r="P330"/>
      <c r="Q330"/>
      <c r="R330"/>
      <c r="S330"/>
      <c r="T330"/>
      <c r="U330"/>
      <c r="V330"/>
      <c r="W330"/>
      <c r="X330" s="66"/>
      <c r="Y330" s="4"/>
      <c r="Z330" s="4"/>
      <c r="AA330" s="4"/>
      <c r="AB330" s="4"/>
      <c r="AC330" s="4"/>
      <c r="AD330" s="4"/>
      <c r="AE330" s="4"/>
      <c r="AF330" s="4"/>
      <c r="AG330"/>
      <c r="AH330"/>
      <c r="AI330"/>
      <c r="AJ330"/>
      <c r="AK330"/>
      <c r="AL330"/>
      <c r="AM330"/>
      <c r="AN330"/>
      <c r="AO330" s="148">
        <f t="shared" si="160"/>
        <v>8.928700000000001</v>
      </c>
      <c r="AP330" s="195">
        <v>217</v>
      </c>
      <c r="AQ330" s="195" t="s">
        <v>523</v>
      </c>
      <c r="AR330" s="195" t="s">
        <v>519</v>
      </c>
      <c r="AS330" s="195" t="s">
        <v>521</v>
      </c>
      <c r="AT330" s="195" t="s">
        <v>528</v>
      </c>
      <c r="AU330" s="195" t="s">
        <v>530</v>
      </c>
      <c r="AV330" s="195" t="s">
        <v>522</v>
      </c>
      <c r="AW330" s="195" t="s">
        <v>525</v>
      </c>
      <c r="AX330" s="195" t="s">
        <v>526</v>
      </c>
      <c r="AZ330"/>
      <c r="BA330"/>
      <c r="BB330"/>
      <c r="BC330"/>
      <c r="BD330" t="str">
        <f>BE57</f>
        <v>Argentinië</v>
      </c>
      <c r="BE330" s="90" t="str">
        <f>BE57</f>
        <v>Argentinië</v>
      </c>
      <c r="BF330" s="152" t="str">
        <f>BE53</f>
        <v>Senegal</v>
      </c>
      <c r="BG330" s="152"/>
    </row>
    <row r="331" spans="1:59" s="90" customFormat="1" ht="14.25" customHeight="1" x14ac:dyDescent="0.2">
      <c r="A331" s="127"/>
      <c r="B331"/>
      <c r="C331" s="134"/>
      <c r="D331"/>
      <c r="E331"/>
      <c r="F331"/>
      <c r="G331"/>
      <c r="H331"/>
      <c r="I331"/>
      <c r="J331"/>
      <c r="K331"/>
      <c r="L331"/>
      <c r="M331"/>
      <c r="N331"/>
      <c r="O331"/>
      <c r="P331"/>
      <c r="Q331"/>
      <c r="R331"/>
      <c r="S331"/>
      <c r="T331"/>
      <c r="U331"/>
      <c r="V331"/>
      <c r="W331"/>
      <c r="X331" s="66"/>
      <c r="Y331" s="4"/>
      <c r="Z331" s="4"/>
      <c r="AA331" s="4"/>
      <c r="AB331" s="4"/>
      <c r="AC331" s="4"/>
      <c r="AD331" s="4"/>
      <c r="AE331" s="4"/>
      <c r="AF331" s="4"/>
      <c r="AG331"/>
      <c r="AH331"/>
      <c r="AI331"/>
      <c r="AJ331"/>
      <c r="AK331"/>
      <c r="AL331"/>
      <c r="AM331"/>
      <c r="AN331"/>
      <c r="AO331" s="148">
        <f t="shared" si="160"/>
        <v>8.9269000000000016</v>
      </c>
      <c r="AP331" s="195">
        <v>218</v>
      </c>
      <c r="AQ331" s="195" t="s">
        <v>523</v>
      </c>
      <c r="AR331" s="195" t="s">
        <v>520</v>
      </c>
      <c r="AS331" s="195" t="s">
        <v>519</v>
      </c>
      <c r="AT331" s="195" t="s">
        <v>528</v>
      </c>
      <c r="AU331" s="195" t="s">
        <v>530</v>
      </c>
      <c r="AV331" s="195" t="s">
        <v>522</v>
      </c>
      <c r="AW331" s="195" t="s">
        <v>525</v>
      </c>
      <c r="AX331" s="195" t="s">
        <v>521</v>
      </c>
      <c r="AZ331"/>
      <c r="BA331"/>
      <c r="BB331"/>
      <c r="BC331"/>
      <c r="BD331" t="str">
        <f>BE58</f>
        <v>Algerije</v>
      </c>
      <c r="BE331" s="90" t="str">
        <f>BE58</f>
        <v>Algerije</v>
      </c>
      <c r="BF331" s="152" t="str">
        <f>BE54</f>
        <v>Noorwegen</v>
      </c>
      <c r="BG331" s="152"/>
    </row>
    <row r="332" spans="1:59" s="90" customFormat="1" ht="14.25" customHeight="1" x14ac:dyDescent="0.2">
      <c r="A332" s="127"/>
      <c r="B332"/>
      <c r="C332" s="134"/>
      <c r="D332"/>
      <c r="E332"/>
      <c r="F332"/>
      <c r="G332"/>
      <c r="H332"/>
      <c r="I332"/>
      <c r="J332"/>
      <c r="K332"/>
      <c r="L332"/>
      <c r="M332"/>
      <c r="N332"/>
      <c r="O332"/>
      <c r="P332"/>
      <c r="Q332"/>
      <c r="R332"/>
      <c r="S332"/>
      <c r="T332"/>
      <c r="U332"/>
      <c r="V332"/>
      <c r="W332"/>
      <c r="X332" s="66"/>
      <c r="Y332" s="4"/>
      <c r="Z332" s="4"/>
      <c r="AA332" s="4"/>
      <c r="AB332" s="4"/>
      <c r="AC332" s="4"/>
      <c r="AD332" s="4"/>
      <c r="AE332" s="4"/>
      <c r="AF332" s="4"/>
      <c r="AG332"/>
      <c r="AH332"/>
      <c r="AI332"/>
      <c r="AJ332"/>
      <c r="AK332"/>
      <c r="AL332"/>
      <c r="AM332"/>
      <c r="AN332"/>
      <c r="AO332" s="148">
        <f t="shared" si="160"/>
        <v>8.9282000000000004</v>
      </c>
      <c r="AP332" s="195">
        <v>219</v>
      </c>
      <c r="AQ332" s="195" t="s">
        <v>523</v>
      </c>
      <c r="AR332" s="195" t="s">
        <v>520</v>
      </c>
      <c r="AS332" s="195" t="s">
        <v>519</v>
      </c>
      <c r="AT332" s="195" t="s">
        <v>528</v>
      </c>
      <c r="AU332" s="195" t="s">
        <v>530</v>
      </c>
      <c r="AV332" s="195" t="s">
        <v>522</v>
      </c>
      <c r="AW332" s="195" t="s">
        <v>521</v>
      </c>
      <c r="AX332" s="195" t="s">
        <v>526</v>
      </c>
      <c r="AZ332"/>
      <c r="BA332"/>
      <c r="BB332"/>
      <c r="BC332"/>
      <c r="BD332" t="str">
        <f>BE59</f>
        <v>Oostenrijk</v>
      </c>
      <c r="BE332" s="90" t="str">
        <f>BE59</f>
        <v>Oostenrijk</v>
      </c>
      <c r="BF332" s="152" t="str">
        <f>BE57</f>
        <v>Argentinië</v>
      </c>
      <c r="BG332" s="152"/>
    </row>
    <row r="333" spans="1:59" s="90" customFormat="1" ht="14.25" customHeight="1" x14ac:dyDescent="0.2">
      <c r="A333" s="127"/>
      <c r="B333"/>
      <c r="C333" s="134"/>
      <c r="D333"/>
      <c r="E333"/>
      <c r="F333"/>
      <c r="G333"/>
      <c r="H333"/>
      <c r="I333"/>
      <c r="J333"/>
      <c r="K333"/>
      <c r="L333"/>
      <c r="M333"/>
      <c r="N333"/>
      <c r="O333"/>
      <c r="P333"/>
      <c r="Q333"/>
      <c r="R333"/>
      <c r="S333"/>
      <c r="T333"/>
      <c r="U333"/>
      <c r="V333"/>
      <c r="W333"/>
      <c r="X333" s="66"/>
      <c r="Y333" s="4"/>
      <c r="Z333" s="4"/>
      <c r="AA333" s="4"/>
      <c r="AB333" s="4"/>
      <c r="AC333" s="4"/>
      <c r="AD333" s="4"/>
      <c r="AE333" s="4"/>
      <c r="AF333" s="4"/>
      <c r="AG333"/>
      <c r="AH333"/>
      <c r="AI333"/>
      <c r="AJ333"/>
      <c r="AK333"/>
      <c r="AL333"/>
      <c r="AM333"/>
      <c r="AN333"/>
      <c r="AO333" s="148">
        <f t="shared" si="160"/>
        <v>8.9252000000000002</v>
      </c>
      <c r="AP333" s="195">
        <v>220</v>
      </c>
      <c r="AQ333" s="195" t="s">
        <v>519</v>
      </c>
      <c r="AR333" s="195" t="s">
        <v>524</v>
      </c>
      <c r="AS333" s="195" t="s">
        <v>520</v>
      </c>
      <c r="AT333" s="195" t="s">
        <v>528</v>
      </c>
      <c r="AU333" s="195" t="s">
        <v>530</v>
      </c>
      <c r="AV333" s="195" t="s">
        <v>522</v>
      </c>
      <c r="AW333" s="195" t="s">
        <v>525</v>
      </c>
      <c r="AX333" s="195" t="s">
        <v>526</v>
      </c>
      <c r="AZ333"/>
      <c r="BA333"/>
      <c r="BB333"/>
      <c r="BC333"/>
      <c r="BD333" t="str">
        <f>BE60</f>
        <v>Jordanië</v>
      </c>
      <c r="BE333" s="90" t="str">
        <f>BE60</f>
        <v>Jordanië</v>
      </c>
      <c r="BF333" s="152" t="str">
        <f>BE58</f>
        <v>Algerije</v>
      </c>
      <c r="BG333" s="152"/>
    </row>
    <row r="334" spans="1:59" s="90" customFormat="1" ht="14.25" customHeight="1" x14ac:dyDescent="0.2">
      <c r="A334" s="127"/>
      <c r="B334"/>
      <c r="C334" s="134"/>
      <c r="D334"/>
      <c r="E334"/>
      <c r="F334"/>
      <c r="G334"/>
      <c r="H334"/>
      <c r="I334"/>
      <c r="J334"/>
      <c r="K334"/>
      <c r="L334"/>
      <c r="M334"/>
      <c r="N334"/>
      <c r="O334"/>
      <c r="P334"/>
      <c r="Q334"/>
      <c r="R334"/>
      <c r="S334"/>
      <c r="T334"/>
      <c r="U334"/>
      <c r="V334"/>
      <c r="W334"/>
      <c r="X334" s="66"/>
      <c r="Y334" s="4"/>
      <c r="Z334" s="4"/>
      <c r="AA334" s="4"/>
      <c r="AB334" s="4"/>
      <c r="AC334" s="4"/>
      <c r="AD334" s="4"/>
      <c r="AE334" s="4"/>
      <c r="AF334" s="4"/>
      <c r="AG334"/>
      <c r="AH334"/>
      <c r="AI334"/>
      <c r="AJ334"/>
      <c r="AK334"/>
      <c r="AL334"/>
      <c r="AM334"/>
      <c r="AN334"/>
      <c r="AO334" s="148">
        <f t="shared" si="160"/>
        <v>8.9255000000000013</v>
      </c>
      <c r="AP334" s="195">
        <v>221</v>
      </c>
      <c r="AQ334" s="195" t="s">
        <v>519</v>
      </c>
      <c r="AR334" s="195" t="s">
        <v>524</v>
      </c>
      <c r="AS334" s="195" t="s">
        <v>521</v>
      </c>
      <c r="AT334" s="195" t="s">
        <v>528</v>
      </c>
      <c r="AU334" s="195" t="s">
        <v>530</v>
      </c>
      <c r="AV334" s="195" t="s">
        <v>522</v>
      </c>
      <c r="AW334" s="195" t="s">
        <v>525</v>
      </c>
      <c r="AX334" s="195" t="s">
        <v>526</v>
      </c>
      <c r="AZ334"/>
      <c r="BA334"/>
      <c r="BB334"/>
      <c r="BC334"/>
      <c r="BD334" t="str">
        <f>BE69</f>
        <v>Engeland</v>
      </c>
      <c r="BE334" s="90" t="str">
        <f t="shared" ref="BE334:BE337" si="162">BE63</f>
        <v>Congo</v>
      </c>
      <c r="BF334" s="152" t="str">
        <f>BE59</f>
        <v>Oostenrijk</v>
      </c>
      <c r="BG334" s="152"/>
    </row>
    <row r="335" spans="1:59" s="90" customFormat="1" ht="14.25" customHeight="1" x14ac:dyDescent="0.2">
      <c r="A335" s="127"/>
      <c r="B335"/>
      <c r="C335" s="134"/>
      <c r="D335"/>
      <c r="E335"/>
      <c r="F335"/>
      <c r="G335"/>
      <c r="H335"/>
      <c r="I335"/>
      <c r="J335"/>
      <c r="K335"/>
      <c r="L335"/>
      <c r="M335"/>
      <c r="N335"/>
      <c r="O335"/>
      <c r="P335"/>
      <c r="Q335"/>
      <c r="R335"/>
      <c r="S335"/>
      <c r="T335"/>
      <c r="U335"/>
      <c r="V335"/>
      <c r="W335"/>
      <c r="X335" s="66"/>
      <c r="Y335" s="4"/>
      <c r="Z335" s="4"/>
      <c r="AA335" s="4"/>
      <c r="AB335" s="4"/>
      <c r="AC335" s="4"/>
      <c r="AD335" s="4"/>
      <c r="AE335" s="4"/>
      <c r="AF335" s="4"/>
      <c r="AG335"/>
      <c r="AH335"/>
      <c r="AI335"/>
      <c r="AJ335"/>
      <c r="AK335"/>
      <c r="AL335"/>
      <c r="AM335"/>
      <c r="AN335"/>
      <c r="AO335" s="148">
        <f t="shared" si="160"/>
        <v>8.923700000000002</v>
      </c>
      <c r="AP335" s="195">
        <v>222</v>
      </c>
      <c r="AQ335" s="195" t="s">
        <v>519</v>
      </c>
      <c r="AR335" s="195" t="s">
        <v>524</v>
      </c>
      <c r="AS335" s="195" t="s">
        <v>520</v>
      </c>
      <c r="AT335" s="195" t="s">
        <v>528</v>
      </c>
      <c r="AU335" s="195" t="s">
        <v>530</v>
      </c>
      <c r="AV335" s="195" t="s">
        <v>522</v>
      </c>
      <c r="AW335" s="195" t="s">
        <v>525</v>
      </c>
      <c r="AX335" s="195" t="s">
        <v>521</v>
      </c>
      <c r="AZ335"/>
      <c r="BA335"/>
      <c r="BB335"/>
      <c r="BC335"/>
      <c r="BD335" t="str">
        <f>BE70</f>
        <v>Kroatië</v>
      </c>
      <c r="BE335" s="90" t="str">
        <f t="shared" si="162"/>
        <v>Portugal</v>
      </c>
      <c r="BF335" s="152" t="str">
        <f>BE60</f>
        <v>Jordanië</v>
      </c>
      <c r="BG335" s="152"/>
    </row>
    <row r="336" spans="1:59" s="90" customFormat="1" ht="14.25" customHeight="1" x14ac:dyDescent="0.2">
      <c r="A336" s="127"/>
      <c r="B336"/>
      <c r="C336" s="134"/>
      <c r="D336"/>
      <c r="E336"/>
      <c r="F336"/>
      <c r="G336"/>
      <c r="H336"/>
      <c r="I336"/>
      <c r="J336"/>
      <c r="K336"/>
      <c r="L336"/>
      <c r="M336"/>
      <c r="N336"/>
      <c r="O336"/>
      <c r="P336"/>
      <c r="Q336"/>
      <c r="R336"/>
      <c r="S336"/>
      <c r="T336"/>
      <c r="U336"/>
      <c r="V336"/>
      <c r="W336"/>
      <c r="X336" s="66"/>
      <c r="Y336" s="4"/>
      <c r="Z336" s="4"/>
      <c r="AA336" s="4"/>
      <c r="AB336" s="4"/>
      <c r="AC336" s="4"/>
      <c r="AD336" s="4"/>
      <c r="AE336" s="4"/>
      <c r="AF336" s="4"/>
      <c r="AG336"/>
      <c r="AH336"/>
      <c r="AI336"/>
      <c r="AJ336"/>
      <c r="AK336"/>
      <c r="AL336"/>
      <c r="AM336"/>
      <c r="AN336"/>
      <c r="AO336" s="148">
        <f t="shared" si="160"/>
        <v>8.9250000000000007</v>
      </c>
      <c r="AP336" s="195">
        <v>223</v>
      </c>
      <c r="AQ336" s="195" t="s">
        <v>519</v>
      </c>
      <c r="AR336" s="195" t="s">
        <v>524</v>
      </c>
      <c r="AS336" s="195" t="s">
        <v>520</v>
      </c>
      <c r="AT336" s="195" t="s">
        <v>528</v>
      </c>
      <c r="AU336" s="195" t="s">
        <v>530</v>
      </c>
      <c r="AV336" s="195" t="s">
        <v>522</v>
      </c>
      <c r="AW336" s="195" t="s">
        <v>521</v>
      </c>
      <c r="AX336" s="195" t="s">
        <v>526</v>
      </c>
      <c r="AZ336"/>
      <c r="BA336"/>
      <c r="BB336"/>
      <c r="BC336"/>
      <c r="BD336" t="str">
        <f>BE71</f>
        <v>Ghana</v>
      </c>
      <c r="BE336" s="90" t="str">
        <f t="shared" si="162"/>
        <v>Oezbekistan</v>
      </c>
      <c r="BF336" s="152" t="str">
        <f>BE63</f>
        <v>Congo</v>
      </c>
      <c r="BG336" s="152"/>
    </row>
    <row r="337" spans="1:59" s="90" customFormat="1" ht="14.25" customHeight="1" x14ac:dyDescent="0.2">
      <c r="A337" s="127"/>
      <c r="B337"/>
      <c r="C337" s="134"/>
      <c r="D337"/>
      <c r="E337"/>
      <c r="F337"/>
      <c r="G337"/>
      <c r="H337"/>
      <c r="I337"/>
      <c r="J337"/>
      <c r="K337"/>
      <c r="L337"/>
      <c r="M337"/>
      <c r="N337"/>
      <c r="O337"/>
      <c r="P337"/>
      <c r="Q337"/>
      <c r="R337"/>
      <c r="S337"/>
      <c r="T337"/>
      <c r="U337"/>
      <c r="V337"/>
      <c r="W337"/>
      <c r="X337" s="66"/>
      <c r="Y337" s="4"/>
      <c r="Z337" s="4"/>
      <c r="AA337" s="4"/>
      <c r="AB337" s="4"/>
      <c r="AC337" s="4"/>
      <c r="AD337" s="4"/>
      <c r="AE337" s="4"/>
      <c r="AF337" s="4"/>
      <c r="AG337"/>
      <c r="AH337"/>
      <c r="AI337"/>
      <c r="AJ337"/>
      <c r="AK337"/>
      <c r="AL337"/>
      <c r="AM337"/>
      <c r="AN337"/>
      <c r="AO337" s="148">
        <f t="shared" si="160"/>
        <v>8.9285000000000014</v>
      </c>
      <c r="AP337" s="195">
        <v>224</v>
      </c>
      <c r="AQ337" s="195" t="s">
        <v>523</v>
      </c>
      <c r="AR337" s="195" t="s">
        <v>524</v>
      </c>
      <c r="AS337" s="195" t="s">
        <v>519</v>
      </c>
      <c r="AT337" s="195" t="s">
        <v>528</v>
      </c>
      <c r="AU337" s="195" t="s">
        <v>530</v>
      </c>
      <c r="AV337" s="195" t="s">
        <v>522</v>
      </c>
      <c r="AW337" s="195" t="s">
        <v>525</v>
      </c>
      <c r="AX337" s="195" t="s">
        <v>526</v>
      </c>
      <c r="AZ337"/>
      <c r="BA337"/>
      <c r="BB337"/>
      <c r="BC337"/>
      <c r="BD337" t="str">
        <f>BE72</f>
        <v>Panama</v>
      </c>
      <c r="BE337" s="90" t="str">
        <f t="shared" si="162"/>
        <v>Colombia</v>
      </c>
      <c r="BF337" s="152" t="str">
        <f>BE64</f>
        <v>Portugal</v>
      </c>
      <c r="BG337" s="152"/>
    </row>
    <row r="338" spans="1:59" s="90" customFormat="1" ht="14.25" customHeight="1" x14ac:dyDescent="0.2">
      <c r="A338" s="127"/>
      <c r="B338"/>
      <c r="C338" s="134"/>
      <c r="D338"/>
      <c r="E338"/>
      <c r="F338"/>
      <c r="G338"/>
      <c r="H338"/>
      <c r="I338"/>
      <c r="J338"/>
      <c r="K338"/>
      <c r="L338"/>
      <c r="M338"/>
      <c r="N338"/>
      <c r="O338"/>
      <c r="P338"/>
      <c r="Q338"/>
      <c r="R338"/>
      <c r="S338"/>
      <c r="T338"/>
      <c r="U338"/>
      <c r="V338"/>
      <c r="W338"/>
      <c r="X338" s="66"/>
      <c r="Y338" s="4"/>
      <c r="Z338" s="4"/>
      <c r="AA338" s="4"/>
      <c r="AB338" s="4"/>
      <c r="AC338" s="4"/>
      <c r="AD338" s="4"/>
      <c r="AE338" s="4"/>
      <c r="AF338" s="4"/>
      <c r="AG338"/>
      <c r="AH338"/>
      <c r="AI338"/>
      <c r="AJ338"/>
      <c r="AK338"/>
      <c r="AL338"/>
      <c r="AM338"/>
      <c r="AN338"/>
      <c r="AO338" s="148">
        <f t="shared" si="160"/>
        <v>8.9267000000000003</v>
      </c>
      <c r="AP338" s="195">
        <v>225</v>
      </c>
      <c r="AQ338" s="195" t="s">
        <v>523</v>
      </c>
      <c r="AR338" s="195" t="s">
        <v>524</v>
      </c>
      <c r="AS338" s="195" t="s">
        <v>520</v>
      </c>
      <c r="AT338" s="195" t="s">
        <v>528</v>
      </c>
      <c r="AU338" s="195" t="s">
        <v>530</v>
      </c>
      <c r="AV338" s="195" t="s">
        <v>522</v>
      </c>
      <c r="AW338" s="195" t="s">
        <v>525</v>
      </c>
      <c r="AX338" s="195" t="s">
        <v>519</v>
      </c>
      <c r="AZ338"/>
      <c r="BA338"/>
      <c r="BB338"/>
      <c r="BC338"/>
      <c r="BE338" s="90" t="str">
        <f>BE69</f>
        <v>Engeland</v>
      </c>
      <c r="BF338" s="152" t="str">
        <f>BE65</f>
        <v>Oezbekistan</v>
      </c>
      <c r="BG338" s="152"/>
    </row>
    <row r="339" spans="1:59" s="90" customFormat="1" ht="14.25" customHeight="1" x14ac:dyDescent="0.2">
      <c r="A339" s="127"/>
      <c r="B339"/>
      <c r="C339" s="134"/>
      <c r="D339"/>
      <c r="E339"/>
      <c r="F339"/>
      <c r="G339"/>
      <c r="H339"/>
      <c r="I339"/>
      <c r="J339"/>
      <c r="K339"/>
      <c r="L339"/>
      <c r="M339"/>
      <c r="N339"/>
      <c r="O339"/>
      <c r="P339"/>
      <c r="Q339"/>
      <c r="R339"/>
      <c r="S339"/>
      <c r="T339"/>
      <c r="U339"/>
      <c r="V339"/>
      <c r="W339"/>
      <c r="X339" s="66"/>
      <c r="Y339" s="4"/>
      <c r="Z339" s="4"/>
      <c r="AA339" s="4"/>
      <c r="AB339" s="4"/>
      <c r="AC339" s="4"/>
      <c r="AD339" s="4"/>
      <c r="AE339" s="4"/>
      <c r="AF339" s="4"/>
      <c r="AG339"/>
      <c r="AH339"/>
      <c r="AI339"/>
      <c r="AJ339"/>
      <c r="AK339"/>
      <c r="AL339"/>
      <c r="AM339"/>
      <c r="AN339"/>
      <c r="AO339" s="148">
        <f t="shared" si="160"/>
        <v>8.9280000000000008</v>
      </c>
      <c r="AP339" s="195">
        <v>226</v>
      </c>
      <c r="AQ339" s="195" t="s">
        <v>523</v>
      </c>
      <c r="AR339" s="195" t="s">
        <v>524</v>
      </c>
      <c r="AS339" s="195" t="s">
        <v>520</v>
      </c>
      <c r="AT339" s="195" t="s">
        <v>528</v>
      </c>
      <c r="AU339" s="195" t="s">
        <v>530</v>
      </c>
      <c r="AV339" s="195" t="s">
        <v>522</v>
      </c>
      <c r="AW339" s="195" t="s">
        <v>519</v>
      </c>
      <c r="AX339" s="195" t="s">
        <v>526</v>
      </c>
      <c r="AZ339"/>
      <c r="BA339"/>
      <c r="BB339"/>
      <c r="BC339"/>
      <c r="BE339" s="90" t="str">
        <f>BE70</f>
        <v>Kroatië</v>
      </c>
      <c r="BF339" s="152" t="str">
        <f>BE66</f>
        <v>Colombia</v>
      </c>
      <c r="BG339" s="152"/>
    </row>
    <row r="340" spans="1:59" s="90" customFormat="1" ht="14.25" customHeight="1" x14ac:dyDescent="0.2">
      <c r="A340" s="127"/>
      <c r="B340"/>
      <c r="C340" s="134"/>
      <c r="D340"/>
      <c r="E340"/>
      <c r="F340"/>
      <c r="G340"/>
      <c r="H340"/>
      <c r="I340"/>
      <c r="J340"/>
      <c r="K340"/>
      <c r="L340"/>
      <c r="M340"/>
      <c r="N340"/>
      <c r="O340"/>
      <c r="P340"/>
      <c r="Q340"/>
      <c r="R340"/>
      <c r="S340"/>
      <c r="T340"/>
      <c r="U340"/>
      <c r="V340"/>
      <c r="W340"/>
      <c r="X340" s="66"/>
      <c r="Y340" s="4"/>
      <c r="Z340" s="4"/>
      <c r="AA340" s="4"/>
      <c r="AB340" s="4"/>
      <c r="AC340" s="4"/>
      <c r="AD340" s="4"/>
      <c r="AE340" s="4"/>
      <c r="AF340" s="4"/>
      <c r="AG340"/>
      <c r="AH340"/>
      <c r="AI340"/>
      <c r="AJ340"/>
      <c r="AK340"/>
      <c r="AL340"/>
      <c r="AM340"/>
      <c r="AN340"/>
      <c r="AO340" s="148">
        <f t="shared" si="160"/>
        <v>8.9270000000000014</v>
      </c>
      <c r="AP340" s="195">
        <v>227</v>
      </c>
      <c r="AQ340" s="195" t="s">
        <v>523</v>
      </c>
      <c r="AR340" s="195" t="s">
        <v>524</v>
      </c>
      <c r="AS340" s="195" t="s">
        <v>519</v>
      </c>
      <c r="AT340" s="195" t="s">
        <v>528</v>
      </c>
      <c r="AU340" s="195" t="s">
        <v>530</v>
      </c>
      <c r="AV340" s="195" t="s">
        <v>522</v>
      </c>
      <c r="AW340" s="195" t="s">
        <v>525</v>
      </c>
      <c r="AX340" s="195" t="s">
        <v>521</v>
      </c>
      <c r="AZ340"/>
      <c r="BA340"/>
      <c r="BB340"/>
      <c r="BC340"/>
      <c r="BE340" s="90" t="str">
        <f>BE71</f>
        <v>Ghana</v>
      </c>
      <c r="BF340" s="152" t="str">
        <f>BE69</f>
        <v>Engeland</v>
      </c>
      <c r="BG340" s="152"/>
    </row>
    <row r="341" spans="1:59" s="90" customFormat="1" ht="14.25" customHeight="1" x14ac:dyDescent="0.2">
      <c r="A341" s="127"/>
      <c r="B341"/>
      <c r="C341" s="134"/>
      <c r="D341"/>
      <c r="E341"/>
      <c r="F341"/>
      <c r="G341"/>
      <c r="H341"/>
      <c r="I341"/>
      <c r="J341"/>
      <c r="K341"/>
      <c r="L341"/>
      <c r="M341"/>
      <c r="N341"/>
      <c r="O341"/>
      <c r="P341"/>
      <c r="Q341"/>
      <c r="R341"/>
      <c r="S341"/>
      <c r="T341"/>
      <c r="U341"/>
      <c r="V341"/>
      <c r="W341"/>
      <c r="X341" s="66"/>
      <c r="Y341" s="4"/>
      <c r="Z341" s="4"/>
      <c r="AA341" s="4"/>
      <c r="AB341" s="4"/>
      <c r="AC341" s="4"/>
      <c r="AD341" s="4"/>
      <c r="AE341" s="4"/>
      <c r="AF341" s="4"/>
      <c r="AG341"/>
      <c r="AH341"/>
      <c r="AI341"/>
      <c r="AJ341"/>
      <c r="AK341"/>
      <c r="AL341"/>
      <c r="AM341"/>
      <c r="AN341"/>
      <c r="AO341" s="148">
        <f t="shared" si="160"/>
        <v>8.9283000000000001</v>
      </c>
      <c r="AP341" s="195">
        <v>228</v>
      </c>
      <c r="AQ341" s="195" t="s">
        <v>523</v>
      </c>
      <c r="AR341" s="195" t="s">
        <v>524</v>
      </c>
      <c r="AS341" s="195" t="s">
        <v>519</v>
      </c>
      <c r="AT341" s="195" t="s">
        <v>528</v>
      </c>
      <c r="AU341" s="195" t="s">
        <v>530</v>
      </c>
      <c r="AV341" s="195" t="s">
        <v>522</v>
      </c>
      <c r="AW341" s="195" t="s">
        <v>521</v>
      </c>
      <c r="AX341" s="195" t="s">
        <v>526</v>
      </c>
      <c r="AZ341"/>
      <c r="BA341"/>
      <c r="BB341"/>
      <c r="BC341"/>
      <c r="BE341" s="90" t="str">
        <f>BE72</f>
        <v>Panama</v>
      </c>
      <c r="BF341" s="152" t="str">
        <f>BE70</f>
        <v>Kroatië</v>
      </c>
      <c r="BG341" s="152"/>
    </row>
    <row r="342" spans="1:59" s="90" customFormat="1" ht="14.25" customHeight="1" x14ac:dyDescent="0.2">
      <c r="A342" s="127"/>
      <c r="B342"/>
      <c r="C342" s="134"/>
      <c r="D342"/>
      <c r="E342"/>
      <c r="F342"/>
      <c r="G342"/>
      <c r="H342"/>
      <c r="I342"/>
      <c r="J342"/>
      <c r="K342"/>
      <c r="L342"/>
      <c r="M342"/>
      <c r="N342"/>
      <c r="O342"/>
      <c r="P342"/>
      <c r="Q342"/>
      <c r="R342"/>
      <c r="S342"/>
      <c r="T342"/>
      <c r="U342"/>
      <c r="V342"/>
      <c r="W342"/>
      <c r="X342" s="66"/>
      <c r="Y342" s="4"/>
      <c r="Z342" s="4"/>
      <c r="AA342" s="4"/>
      <c r="AB342" s="4"/>
      <c r="AC342" s="4"/>
      <c r="AD342" s="4"/>
      <c r="AE342" s="4"/>
      <c r="AF342" s="4"/>
      <c r="AG342"/>
      <c r="AH342"/>
      <c r="AI342"/>
      <c r="AJ342"/>
      <c r="AK342"/>
      <c r="AL342"/>
      <c r="AM342"/>
      <c r="AN342"/>
      <c r="AO342" s="148">
        <f t="shared" si="160"/>
        <v>8.9265000000000008</v>
      </c>
      <c r="AP342" s="195">
        <v>229</v>
      </c>
      <c r="AQ342" s="195" t="s">
        <v>523</v>
      </c>
      <c r="AR342" s="195" t="s">
        <v>524</v>
      </c>
      <c r="AS342" s="195" t="s">
        <v>520</v>
      </c>
      <c r="AT342" s="195" t="s">
        <v>528</v>
      </c>
      <c r="AU342" s="195" t="s">
        <v>530</v>
      </c>
      <c r="AV342" s="195" t="s">
        <v>522</v>
      </c>
      <c r="AW342" s="195" t="s">
        <v>519</v>
      </c>
      <c r="AX342" s="195" t="s">
        <v>521</v>
      </c>
      <c r="AZ342"/>
      <c r="BA342"/>
      <c r="BB342"/>
      <c r="BC342"/>
      <c r="BD342"/>
      <c r="BE342"/>
      <c r="BF342" s="152" t="str">
        <f>BE71</f>
        <v>Ghana</v>
      </c>
      <c r="BG342" s="152"/>
    </row>
    <row r="343" spans="1:59" s="90" customFormat="1" ht="14.25" customHeight="1" x14ac:dyDescent="0.2">
      <c r="A343" s="127"/>
      <c r="B343"/>
      <c r="C343" s="134"/>
      <c r="D343"/>
      <c r="E343"/>
      <c r="F343"/>
      <c r="G343"/>
      <c r="H343"/>
      <c r="I343"/>
      <c r="J343"/>
      <c r="K343"/>
      <c r="L343"/>
      <c r="M343"/>
      <c r="N343"/>
      <c r="O343"/>
      <c r="P343"/>
      <c r="Q343"/>
      <c r="R343"/>
      <c r="S343"/>
      <c r="T343"/>
      <c r="U343"/>
      <c r="V343"/>
      <c r="W343"/>
      <c r="X343" s="66"/>
      <c r="Y343" s="4"/>
      <c r="Z343" s="4"/>
      <c r="AA343" s="4"/>
      <c r="AB343" s="4"/>
      <c r="AC343" s="4"/>
      <c r="AD343" s="4"/>
      <c r="AE343" s="4"/>
      <c r="AF343" s="4"/>
      <c r="AG343"/>
      <c r="AH343"/>
      <c r="AI343"/>
      <c r="AJ343"/>
      <c r="AK343"/>
      <c r="AL343"/>
      <c r="AM343"/>
      <c r="AN343"/>
      <c r="AO343" s="148">
        <f t="shared" si="160"/>
        <v>8.9269999999999996</v>
      </c>
      <c r="AP343" s="195">
        <v>230</v>
      </c>
      <c r="AQ343" s="195" t="s">
        <v>523</v>
      </c>
      <c r="AR343" s="195" t="s">
        <v>520</v>
      </c>
      <c r="AS343" s="195" t="s">
        <v>521</v>
      </c>
      <c r="AT343" s="195" t="s">
        <v>528</v>
      </c>
      <c r="AU343" s="195" t="s">
        <v>530</v>
      </c>
      <c r="AV343" s="195" t="s">
        <v>527</v>
      </c>
      <c r="AW343" s="195" t="s">
        <v>525</v>
      </c>
      <c r="AX343" s="195" t="s">
        <v>526</v>
      </c>
      <c r="AZ343"/>
      <c r="BA343"/>
      <c r="BB343"/>
      <c r="BC343"/>
      <c r="BD343"/>
      <c r="BE343"/>
      <c r="BF343" s="152" t="str">
        <f>BE72</f>
        <v>Panama</v>
      </c>
      <c r="BG343" s="152"/>
    </row>
    <row r="344" spans="1:59" s="90" customFormat="1" ht="14.25" customHeight="1" x14ac:dyDescent="0.2">
      <c r="A344" s="127"/>
      <c r="B344"/>
      <c r="C344" s="134"/>
      <c r="D344"/>
      <c r="E344"/>
      <c r="F344"/>
      <c r="G344"/>
      <c r="H344"/>
      <c r="I344"/>
      <c r="J344"/>
      <c r="K344"/>
      <c r="L344"/>
      <c r="M344"/>
      <c r="N344"/>
      <c r="O344"/>
      <c r="P344"/>
      <c r="Q344"/>
      <c r="R344"/>
      <c r="S344"/>
      <c r="T344"/>
      <c r="U344"/>
      <c r="V344"/>
      <c r="W344"/>
      <c r="X344" s="66"/>
      <c r="Y344" s="4"/>
      <c r="Z344" s="4"/>
      <c r="AA344" s="4"/>
      <c r="AB344" s="4"/>
      <c r="AC344" s="4"/>
      <c r="AD344" s="4"/>
      <c r="AE344" s="4"/>
      <c r="AF344" s="4"/>
      <c r="AG344"/>
      <c r="AH344"/>
      <c r="AI344"/>
      <c r="AJ344"/>
      <c r="AK344"/>
      <c r="AL344"/>
      <c r="AM344"/>
      <c r="AN344"/>
      <c r="AO344" s="148">
        <f t="shared" si="160"/>
        <v>8.9238</v>
      </c>
      <c r="AP344" s="195">
        <v>231</v>
      </c>
      <c r="AQ344" s="195" t="s">
        <v>521</v>
      </c>
      <c r="AR344" s="195" t="s">
        <v>524</v>
      </c>
      <c r="AS344" s="195" t="s">
        <v>520</v>
      </c>
      <c r="AT344" s="195" t="s">
        <v>528</v>
      </c>
      <c r="AU344" s="195" t="s">
        <v>530</v>
      </c>
      <c r="AV344" s="195" t="s">
        <v>527</v>
      </c>
      <c r="AW344" s="195" t="s">
        <v>525</v>
      </c>
      <c r="AX344" s="195" t="s">
        <v>526</v>
      </c>
      <c r="AZ344"/>
      <c r="BA344"/>
      <c r="BB344"/>
      <c r="BC344"/>
      <c r="BD344"/>
      <c r="BE344"/>
      <c r="BF344" s="152"/>
      <c r="BG344" s="152"/>
    </row>
    <row r="345" spans="1:59" s="90" customFormat="1" ht="14.25" customHeight="1" x14ac:dyDescent="0.2">
      <c r="A345" s="127"/>
      <c r="B345"/>
      <c r="C345" s="134"/>
      <c r="D345"/>
      <c r="E345"/>
      <c r="F345"/>
      <c r="G345"/>
      <c r="H345"/>
      <c r="I345"/>
      <c r="J345"/>
      <c r="K345"/>
      <c r="L345"/>
      <c r="M345"/>
      <c r="N345"/>
      <c r="O345"/>
      <c r="P345"/>
      <c r="Q345"/>
      <c r="R345"/>
      <c r="S345"/>
      <c r="T345"/>
      <c r="U345"/>
      <c r="V345"/>
      <c r="W345"/>
      <c r="X345" s="66"/>
      <c r="Y345" s="4"/>
      <c r="Z345" s="4"/>
      <c r="AA345" s="4"/>
      <c r="AB345" s="4"/>
      <c r="AC345" s="4"/>
      <c r="AD345" s="4"/>
      <c r="AE345" s="4"/>
      <c r="AF345" s="4"/>
      <c r="AG345"/>
      <c r="AH345"/>
      <c r="AI345"/>
      <c r="AJ345"/>
      <c r="AK345"/>
      <c r="AL345"/>
      <c r="AM345"/>
      <c r="AN345"/>
      <c r="AO345" s="148">
        <f t="shared" si="160"/>
        <v>8.9268000000000001</v>
      </c>
      <c r="AP345" s="195">
        <v>232</v>
      </c>
      <c r="AQ345" s="195" t="s">
        <v>523</v>
      </c>
      <c r="AR345" s="195" t="s">
        <v>524</v>
      </c>
      <c r="AS345" s="195" t="s">
        <v>520</v>
      </c>
      <c r="AT345" s="195" t="s">
        <v>528</v>
      </c>
      <c r="AU345" s="195" t="s">
        <v>530</v>
      </c>
      <c r="AV345" s="195" t="s">
        <v>527</v>
      </c>
      <c r="AW345" s="195" t="s">
        <v>525</v>
      </c>
      <c r="AX345" s="195" t="s">
        <v>526</v>
      </c>
      <c r="AZ345"/>
      <c r="BA345"/>
      <c r="BB345"/>
      <c r="BC345"/>
      <c r="BD345"/>
      <c r="BE345"/>
      <c r="BF345" s="152"/>
      <c r="BG345" s="152"/>
    </row>
    <row r="346" spans="1:59" s="90" customFormat="1" ht="14.25" customHeight="1" x14ac:dyDescent="0.2">
      <c r="A346" s="127"/>
      <c r="B346"/>
      <c r="C346" s="134"/>
      <c r="D346"/>
      <c r="E346"/>
      <c r="F346"/>
      <c r="G346"/>
      <c r="H346"/>
      <c r="I346"/>
      <c r="J346"/>
      <c r="K346"/>
      <c r="L346"/>
      <c r="M346"/>
      <c r="N346"/>
      <c r="O346"/>
      <c r="P346"/>
      <c r="Q346"/>
      <c r="R346"/>
      <c r="S346"/>
      <c r="T346"/>
      <c r="U346"/>
      <c r="V346"/>
      <c r="W346"/>
      <c r="X346" s="66"/>
      <c r="Y346" s="4"/>
      <c r="Z346" s="4"/>
      <c r="AA346" s="4"/>
      <c r="AB346" s="4"/>
      <c r="AC346" s="4"/>
      <c r="AD346" s="4"/>
      <c r="AE346" s="4"/>
      <c r="AF346" s="4"/>
      <c r="AG346"/>
      <c r="AH346"/>
      <c r="AI346"/>
      <c r="AJ346"/>
      <c r="AK346"/>
      <c r="AL346"/>
      <c r="AM346"/>
      <c r="AN346"/>
      <c r="AO346" s="148">
        <f t="shared" si="160"/>
        <v>8.9271000000000011</v>
      </c>
      <c r="AP346" s="195">
        <v>233</v>
      </c>
      <c r="AQ346" s="195" t="s">
        <v>523</v>
      </c>
      <c r="AR346" s="195" t="s">
        <v>524</v>
      </c>
      <c r="AS346" s="195" t="s">
        <v>521</v>
      </c>
      <c r="AT346" s="195" t="s">
        <v>528</v>
      </c>
      <c r="AU346" s="195" t="s">
        <v>530</v>
      </c>
      <c r="AV346" s="195" t="s">
        <v>527</v>
      </c>
      <c r="AW346" s="195" t="s">
        <v>525</v>
      </c>
      <c r="AX346" s="195" t="s">
        <v>526</v>
      </c>
      <c r="AZ346"/>
      <c r="BA346"/>
      <c r="BB346"/>
      <c r="BC346"/>
      <c r="BD346"/>
      <c r="BE346"/>
      <c r="BF346" s="152"/>
      <c r="BG346" s="152"/>
    </row>
    <row r="347" spans="1:59" s="90" customFormat="1" ht="14.25" customHeight="1" x14ac:dyDescent="0.2">
      <c r="A347" s="127"/>
      <c r="B347"/>
      <c r="C347" s="134"/>
      <c r="D347"/>
      <c r="E347"/>
      <c r="F347"/>
      <c r="G347"/>
      <c r="H347"/>
      <c r="I347"/>
      <c r="J347"/>
      <c r="K347"/>
      <c r="L347"/>
      <c r="M347"/>
      <c r="N347"/>
      <c r="O347"/>
      <c r="P347"/>
      <c r="Q347"/>
      <c r="R347"/>
      <c r="S347"/>
      <c r="T347"/>
      <c r="U347"/>
      <c r="V347"/>
      <c r="W347"/>
      <c r="X347" s="66"/>
      <c r="Y347" s="4"/>
      <c r="Z347" s="4"/>
      <c r="AA347" s="4"/>
      <c r="AB347" s="4"/>
      <c r="AC347" s="4"/>
      <c r="AD347" s="4"/>
      <c r="AE347" s="4"/>
      <c r="AF347" s="4"/>
      <c r="AG347"/>
      <c r="AH347"/>
      <c r="AI347"/>
      <c r="AJ347"/>
      <c r="AK347"/>
      <c r="AL347"/>
      <c r="AM347"/>
      <c r="AN347"/>
      <c r="AO347" s="148">
        <f t="shared" si="160"/>
        <v>8.9253000000000018</v>
      </c>
      <c r="AP347" s="195">
        <v>234</v>
      </c>
      <c r="AQ347" s="195" t="s">
        <v>523</v>
      </c>
      <c r="AR347" s="195" t="s">
        <v>524</v>
      </c>
      <c r="AS347" s="195" t="s">
        <v>520</v>
      </c>
      <c r="AT347" s="195" t="s">
        <v>528</v>
      </c>
      <c r="AU347" s="195" t="s">
        <v>530</v>
      </c>
      <c r="AV347" s="195" t="s">
        <v>527</v>
      </c>
      <c r="AW347" s="195" t="s">
        <v>525</v>
      </c>
      <c r="AX347" s="195" t="s">
        <v>521</v>
      </c>
      <c r="AZ347"/>
      <c r="BA347"/>
      <c r="BB347"/>
      <c r="BC347"/>
      <c r="BD347"/>
      <c r="BE347"/>
      <c r="BF347" s="152"/>
      <c r="BG347" s="152"/>
    </row>
    <row r="348" spans="1:59" s="90" customFormat="1" ht="14.25" customHeight="1" x14ac:dyDescent="0.2">
      <c r="A348" s="127"/>
      <c r="B348"/>
      <c r="C348" s="134"/>
      <c r="D348"/>
      <c r="E348"/>
      <c r="F348"/>
      <c r="G348"/>
      <c r="H348"/>
      <c r="I348"/>
      <c r="J348"/>
      <c r="K348"/>
      <c r="L348"/>
      <c r="M348"/>
      <c r="N348"/>
      <c r="O348"/>
      <c r="P348"/>
      <c r="Q348"/>
      <c r="R348"/>
      <c r="S348"/>
      <c r="T348"/>
      <c r="U348"/>
      <c r="V348"/>
      <c r="W348"/>
      <c r="X348" s="66"/>
      <c r="Y348" s="4"/>
      <c r="Z348" s="4"/>
      <c r="AA348" s="4"/>
      <c r="AB348" s="4"/>
      <c r="AC348" s="4"/>
      <c r="AD348" s="4"/>
      <c r="AE348" s="4"/>
      <c r="AF348" s="4"/>
      <c r="AG348"/>
      <c r="AH348"/>
      <c r="AI348"/>
      <c r="AJ348"/>
      <c r="AK348"/>
      <c r="AL348"/>
      <c r="AM348"/>
      <c r="AN348"/>
      <c r="AO348" s="148">
        <f t="shared" si="160"/>
        <v>8.9266000000000005</v>
      </c>
      <c r="AP348" s="195">
        <v>235</v>
      </c>
      <c r="AQ348" s="195" t="s">
        <v>523</v>
      </c>
      <c r="AR348" s="195" t="s">
        <v>524</v>
      </c>
      <c r="AS348" s="195" t="s">
        <v>520</v>
      </c>
      <c r="AT348" s="195" t="s">
        <v>528</v>
      </c>
      <c r="AU348" s="195" t="s">
        <v>530</v>
      </c>
      <c r="AV348" s="195" t="s">
        <v>527</v>
      </c>
      <c r="AW348" s="195" t="s">
        <v>521</v>
      </c>
      <c r="AX348" s="195" t="s">
        <v>526</v>
      </c>
      <c r="AZ348"/>
      <c r="BA348"/>
      <c r="BB348"/>
      <c r="BC348"/>
      <c r="BD348"/>
      <c r="BE348"/>
      <c r="BF348" s="152"/>
      <c r="BG348" s="152"/>
    </row>
    <row r="349" spans="1:59" s="90" customFormat="1" ht="14.25" customHeight="1" x14ac:dyDescent="0.2">
      <c r="A349" s="127"/>
      <c r="B349"/>
      <c r="C349" s="134"/>
      <c r="D349"/>
      <c r="E349"/>
      <c r="F349"/>
      <c r="G349"/>
      <c r="H349"/>
      <c r="I349"/>
      <c r="J349"/>
      <c r="K349"/>
      <c r="L349"/>
      <c r="M349"/>
      <c r="N349"/>
      <c r="O349"/>
      <c r="P349"/>
      <c r="Q349"/>
      <c r="R349"/>
      <c r="S349"/>
      <c r="T349"/>
      <c r="U349"/>
      <c r="V349"/>
      <c r="W349"/>
      <c r="X349" s="66"/>
      <c r="Y349" s="4"/>
      <c r="Z349" s="4"/>
      <c r="AA349" s="4"/>
      <c r="AB349" s="4"/>
      <c r="AC349" s="4"/>
      <c r="AD349" s="4"/>
      <c r="AE349" s="4"/>
      <c r="AF349" s="4"/>
      <c r="AG349"/>
      <c r="AH349"/>
      <c r="AI349"/>
      <c r="AJ349"/>
      <c r="AK349"/>
      <c r="AL349"/>
      <c r="AM349"/>
      <c r="AN349"/>
      <c r="AO349" s="148">
        <f t="shared" si="160"/>
        <v>8.9247000000000014</v>
      </c>
      <c r="AP349" s="195">
        <v>236</v>
      </c>
      <c r="AQ349" s="195" t="s">
        <v>528</v>
      </c>
      <c r="AR349" s="195" t="s">
        <v>520</v>
      </c>
      <c r="AS349" s="195" t="s">
        <v>521</v>
      </c>
      <c r="AT349" s="195" t="s">
        <v>527</v>
      </c>
      <c r="AU349" s="195" t="s">
        <v>530</v>
      </c>
      <c r="AV349" s="195" t="s">
        <v>522</v>
      </c>
      <c r="AW349" s="195" t="s">
        <v>525</v>
      </c>
      <c r="AX349" s="195" t="s">
        <v>526</v>
      </c>
      <c r="AZ349"/>
      <c r="BA349"/>
      <c r="BB349"/>
      <c r="BC349"/>
      <c r="BD349"/>
      <c r="BE349"/>
      <c r="BF349" s="152"/>
      <c r="BG349" s="152"/>
    </row>
    <row r="350" spans="1:59" s="90" customFormat="1" ht="14.25" customHeight="1" x14ac:dyDescent="0.2">
      <c r="A350" s="127"/>
      <c r="B350"/>
      <c r="C350" s="134"/>
      <c r="D350"/>
      <c r="E350"/>
      <c r="F350"/>
      <c r="G350"/>
      <c r="H350"/>
      <c r="I350"/>
      <c r="J350"/>
      <c r="K350"/>
      <c r="L350"/>
      <c r="M350"/>
      <c r="N350"/>
      <c r="O350"/>
      <c r="P350"/>
      <c r="Q350"/>
      <c r="R350"/>
      <c r="S350"/>
      <c r="T350"/>
      <c r="U350"/>
      <c r="V350"/>
      <c r="W350"/>
      <c r="X350" s="66"/>
      <c r="Y350" s="4"/>
      <c r="Z350" s="4"/>
      <c r="AA350" s="4"/>
      <c r="AB350" s="4"/>
      <c r="AC350" s="4"/>
      <c r="AD350" s="4"/>
      <c r="AE350" s="4"/>
      <c r="AF350" s="4"/>
      <c r="AG350"/>
      <c r="AH350"/>
      <c r="AI350"/>
      <c r="AJ350"/>
      <c r="AK350"/>
      <c r="AL350"/>
      <c r="AM350"/>
      <c r="AN350"/>
      <c r="AO350" s="148">
        <f t="shared" si="160"/>
        <v>8.9277000000000015</v>
      </c>
      <c r="AP350" s="195">
        <v>237</v>
      </c>
      <c r="AQ350" s="195" t="s">
        <v>523</v>
      </c>
      <c r="AR350" s="195" t="s">
        <v>520</v>
      </c>
      <c r="AS350" s="195" t="s">
        <v>522</v>
      </c>
      <c r="AT350" s="195" t="s">
        <v>528</v>
      </c>
      <c r="AU350" s="195" t="s">
        <v>530</v>
      </c>
      <c r="AV350" s="195" t="s">
        <v>527</v>
      </c>
      <c r="AW350" s="195" t="s">
        <v>525</v>
      </c>
      <c r="AX350" s="195" t="s">
        <v>526</v>
      </c>
      <c r="AZ350"/>
      <c r="BA350"/>
      <c r="BB350"/>
      <c r="BC350"/>
      <c r="BD350"/>
      <c r="BE350"/>
      <c r="BF350" s="152"/>
      <c r="BG350" s="152"/>
    </row>
    <row r="351" spans="1:59" s="90" customFormat="1" ht="14.25" customHeight="1" x14ac:dyDescent="0.2">
      <c r="A351" s="127"/>
      <c r="B351"/>
      <c r="C351" s="134"/>
      <c r="D351"/>
      <c r="E351"/>
      <c r="F351"/>
      <c r="G351"/>
      <c r="H351"/>
      <c r="I351"/>
      <c r="J351"/>
      <c r="K351"/>
      <c r="L351"/>
      <c r="M351"/>
      <c r="N351"/>
      <c r="O351"/>
      <c r="P351"/>
      <c r="Q351"/>
      <c r="R351"/>
      <c r="S351"/>
      <c r="T351"/>
      <c r="U351"/>
      <c r="V351"/>
      <c r="W351"/>
      <c r="X351" s="66"/>
      <c r="Y351" s="4"/>
      <c r="Z351" s="4"/>
      <c r="AA351" s="4"/>
      <c r="AB351" s="4"/>
      <c r="AC351" s="4"/>
      <c r="AD351" s="4"/>
      <c r="AE351" s="4"/>
      <c r="AF351" s="4"/>
      <c r="AG351"/>
      <c r="AH351"/>
      <c r="AI351"/>
      <c r="AJ351"/>
      <c r="AK351"/>
      <c r="AL351"/>
      <c r="AM351"/>
      <c r="AN351"/>
      <c r="AO351" s="148">
        <f t="shared" si="160"/>
        <v>8.9280000000000008</v>
      </c>
      <c r="AP351" s="195">
        <v>238</v>
      </c>
      <c r="AQ351" s="195" t="s">
        <v>523</v>
      </c>
      <c r="AR351" s="195" t="s">
        <v>522</v>
      </c>
      <c r="AS351" s="195" t="s">
        <v>521</v>
      </c>
      <c r="AT351" s="195" t="s">
        <v>528</v>
      </c>
      <c r="AU351" s="195" t="s">
        <v>530</v>
      </c>
      <c r="AV351" s="195" t="s">
        <v>527</v>
      </c>
      <c r="AW351" s="195" t="s">
        <v>525</v>
      </c>
      <c r="AX351" s="195" t="s">
        <v>526</v>
      </c>
      <c r="AZ351"/>
      <c r="BA351"/>
      <c r="BB351"/>
      <c r="BC351"/>
      <c r="BD351"/>
      <c r="BE351"/>
      <c r="BF351" s="152"/>
      <c r="BG351" s="152"/>
    </row>
    <row r="352" spans="1:59" s="90" customFormat="1" ht="14.25" customHeight="1" x14ac:dyDescent="0.2">
      <c r="A352" s="127"/>
      <c r="B352"/>
      <c r="C352" s="134"/>
      <c r="D352"/>
      <c r="E352"/>
      <c r="F352"/>
      <c r="G352"/>
      <c r="H352"/>
      <c r="I352"/>
      <c r="J352"/>
      <c r="K352"/>
      <c r="L352"/>
      <c r="M352"/>
      <c r="N352"/>
      <c r="O352"/>
      <c r="P352"/>
      <c r="Q352"/>
      <c r="R352"/>
      <c r="S352"/>
      <c r="T352"/>
      <c r="U352"/>
      <c r="V352"/>
      <c r="W352"/>
      <c r="X352" s="66"/>
      <c r="Y352" s="4"/>
      <c r="Z352" s="4"/>
      <c r="AA352" s="4"/>
      <c r="AB352" s="4"/>
      <c r="AC352" s="4"/>
      <c r="AD352" s="4"/>
      <c r="AE352" s="4"/>
      <c r="AF352" s="4"/>
      <c r="AG352"/>
      <c r="AH352"/>
      <c r="AI352"/>
      <c r="AJ352"/>
      <c r="AK352"/>
      <c r="AL352"/>
      <c r="AM352"/>
      <c r="AN352"/>
      <c r="AO352" s="148">
        <f t="shared" si="160"/>
        <v>8.9262000000000015</v>
      </c>
      <c r="AP352" s="195">
        <v>239</v>
      </c>
      <c r="AQ352" s="195" t="s">
        <v>523</v>
      </c>
      <c r="AR352" s="195" t="s">
        <v>520</v>
      </c>
      <c r="AS352" s="195" t="s">
        <v>522</v>
      </c>
      <c r="AT352" s="195" t="s">
        <v>528</v>
      </c>
      <c r="AU352" s="195" t="s">
        <v>530</v>
      </c>
      <c r="AV352" s="195" t="s">
        <v>527</v>
      </c>
      <c r="AW352" s="195" t="s">
        <v>525</v>
      </c>
      <c r="AX352" s="195" t="s">
        <v>521</v>
      </c>
      <c r="AZ352"/>
      <c r="BA352"/>
      <c r="BB352"/>
      <c r="BC352"/>
      <c r="BD352"/>
      <c r="BE352"/>
      <c r="BF352" s="152"/>
      <c r="BG352" s="152"/>
    </row>
    <row r="353" spans="1:59" s="90" customFormat="1" ht="14.25" customHeight="1" x14ac:dyDescent="0.2">
      <c r="A353" s="127"/>
      <c r="B353"/>
      <c r="C353" s="134"/>
      <c r="D353"/>
      <c r="E353"/>
      <c r="F353"/>
      <c r="G353"/>
      <c r="H353"/>
      <c r="I353"/>
      <c r="J353"/>
      <c r="K353"/>
      <c r="L353"/>
      <c r="M353"/>
      <c r="N353"/>
      <c r="O353"/>
      <c r="P353"/>
      <c r="Q353"/>
      <c r="R353"/>
      <c r="S353"/>
      <c r="T353"/>
      <c r="U353"/>
      <c r="V353"/>
      <c r="W353"/>
      <c r="X353" s="66"/>
      <c r="Y353" s="4"/>
      <c r="Z353" s="4"/>
      <c r="AA353" s="4"/>
      <c r="AB353" s="4"/>
      <c r="AC353" s="4"/>
      <c r="AD353" s="4"/>
      <c r="AE353" s="4"/>
      <c r="AF353" s="4"/>
      <c r="AG353"/>
      <c r="AH353"/>
      <c r="AI353"/>
      <c r="AJ353"/>
      <c r="AK353"/>
      <c r="AL353"/>
      <c r="AM353"/>
      <c r="AN353"/>
      <c r="AO353" s="148">
        <f t="shared" si="160"/>
        <v>8.9275000000000002</v>
      </c>
      <c r="AP353" s="195">
        <v>240</v>
      </c>
      <c r="AQ353" s="195" t="s">
        <v>523</v>
      </c>
      <c r="AR353" s="195" t="s">
        <v>520</v>
      </c>
      <c r="AS353" s="195" t="s">
        <v>522</v>
      </c>
      <c r="AT353" s="195" t="s">
        <v>528</v>
      </c>
      <c r="AU353" s="195" t="s">
        <v>530</v>
      </c>
      <c r="AV353" s="195" t="s">
        <v>527</v>
      </c>
      <c r="AW353" s="195" t="s">
        <v>521</v>
      </c>
      <c r="AX353" s="195" t="s">
        <v>526</v>
      </c>
      <c r="AZ353"/>
      <c r="BA353"/>
      <c r="BB353"/>
      <c r="BC353"/>
      <c r="BD353"/>
      <c r="BE353"/>
      <c r="BF353" s="152"/>
      <c r="BG353" s="152"/>
    </row>
    <row r="354" spans="1:59" s="90" customFormat="1" ht="14.25" customHeight="1" x14ac:dyDescent="0.2">
      <c r="A354" s="127"/>
      <c r="B354"/>
      <c r="C354" s="134"/>
      <c r="D354"/>
      <c r="E354"/>
      <c r="F354"/>
      <c r="G354"/>
      <c r="H354"/>
      <c r="I354"/>
      <c r="J354"/>
      <c r="K354"/>
      <c r="L354"/>
      <c r="M354"/>
      <c r="N354"/>
      <c r="O354"/>
      <c r="P354"/>
      <c r="Q354"/>
      <c r="R354"/>
      <c r="S354"/>
      <c r="T354"/>
      <c r="U354"/>
      <c r="V354"/>
      <c r="W354"/>
      <c r="X354" s="66"/>
      <c r="Y354" s="4"/>
      <c r="Z354" s="4"/>
      <c r="AA354" s="4"/>
      <c r="AB354" s="4"/>
      <c r="AC354" s="4"/>
      <c r="AD354" s="4"/>
      <c r="AE354" s="4"/>
      <c r="AF354" s="4"/>
      <c r="AG354"/>
      <c r="AH354"/>
      <c r="AI354"/>
      <c r="AJ354"/>
      <c r="AK354"/>
      <c r="AL354"/>
      <c r="AM354"/>
      <c r="AN354"/>
      <c r="AO354" s="148">
        <f t="shared" si="160"/>
        <v>8.9245000000000019</v>
      </c>
      <c r="AP354" s="195">
        <v>241</v>
      </c>
      <c r="AQ354" s="195" t="s">
        <v>528</v>
      </c>
      <c r="AR354" s="195" t="s">
        <v>524</v>
      </c>
      <c r="AS354" s="195" t="s">
        <v>520</v>
      </c>
      <c r="AT354" s="195" t="s">
        <v>527</v>
      </c>
      <c r="AU354" s="195" t="s">
        <v>530</v>
      </c>
      <c r="AV354" s="195" t="s">
        <v>522</v>
      </c>
      <c r="AW354" s="195" t="s">
        <v>525</v>
      </c>
      <c r="AX354" s="195" t="s">
        <v>526</v>
      </c>
      <c r="AZ354"/>
      <c r="BA354"/>
      <c r="BB354"/>
      <c r="BC354"/>
      <c r="BD354"/>
      <c r="BE354"/>
      <c r="BF354" s="152"/>
      <c r="BG354" s="152"/>
    </row>
    <row r="355" spans="1:59" s="90" customFormat="1" ht="14.25" customHeight="1" x14ac:dyDescent="0.2">
      <c r="A355" s="127"/>
      <c r="B355"/>
      <c r="C355" s="134"/>
      <c r="D355"/>
      <c r="E355"/>
      <c r="F355"/>
      <c r="G355"/>
      <c r="H355"/>
      <c r="I355"/>
      <c r="J355"/>
      <c r="K355"/>
      <c r="L355"/>
      <c r="M355"/>
      <c r="N355"/>
      <c r="O355"/>
      <c r="P355"/>
      <c r="Q355"/>
      <c r="R355"/>
      <c r="S355"/>
      <c r="T355"/>
      <c r="U355"/>
      <c r="V355"/>
      <c r="W355"/>
      <c r="X355" s="66"/>
      <c r="Y355" s="4"/>
      <c r="Z355" s="4"/>
      <c r="AA355" s="4"/>
      <c r="AB355" s="4"/>
      <c r="AC355" s="4"/>
      <c r="AD355" s="4"/>
      <c r="AE355" s="4"/>
      <c r="AF355" s="4"/>
      <c r="AG355"/>
      <c r="AH355"/>
      <c r="AI355"/>
      <c r="AJ355"/>
      <c r="AK355"/>
      <c r="AL355"/>
      <c r="AM355"/>
      <c r="AN355"/>
      <c r="AO355" s="148">
        <f t="shared" si="160"/>
        <v>8.9248000000000012</v>
      </c>
      <c r="AP355" s="195">
        <v>242</v>
      </c>
      <c r="AQ355" s="195" t="s">
        <v>528</v>
      </c>
      <c r="AR355" s="195" t="s">
        <v>524</v>
      </c>
      <c r="AS355" s="195" t="s">
        <v>521</v>
      </c>
      <c r="AT355" s="195" t="s">
        <v>527</v>
      </c>
      <c r="AU355" s="195" t="s">
        <v>530</v>
      </c>
      <c r="AV355" s="195" t="s">
        <v>522</v>
      </c>
      <c r="AW355" s="195" t="s">
        <v>525</v>
      </c>
      <c r="AX355" s="195" t="s">
        <v>526</v>
      </c>
      <c r="AZ355"/>
      <c r="BA355"/>
      <c r="BB355"/>
      <c r="BC355"/>
      <c r="BD355"/>
      <c r="BE355"/>
      <c r="BF355" s="152"/>
      <c r="BG355" s="152"/>
    </row>
    <row r="356" spans="1:59" s="90" customFormat="1" ht="14.25" customHeight="1" x14ac:dyDescent="0.2">
      <c r="A356" s="127"/>
      <c r="B356"/>
      <c r="C356" s="134"/>
      <c r="D356"/>
      <c r="E356"/>
      <c r="F356"/>
      <c r="G356"/>
      <c r="H356"/>
      <c r="I356"/>
      <c r="J356"/>
      <c r="K356"/>
      <c r="L356"/>
      <c r="M356"/>
      <c r="N356"/>
      <c r="O356"/>
      <c r="P356"/>
      <c r="Q356"/>
      <c r="R356"/>
      <c r="S356"/>
      <c r="T356"/>
      <c r="U356"/>
      <c r="V356"/>
      <c r="W356"/>
      <c r="X356" s="66"/>
      <c r="Y356" s="4"/>
      <c r="Z356" s="4"/>
      <c r="AA356" s="4"/>
      <c r="AB356" s="4"/>
      <c r="AC356" s="4"/>
      <c r="AD356" s="4"/>
      <c r="AE356" s="4"/>
      <c r="AF356" s="4"/>
      <c r="AG356"/>
      <c r="AH356"/>
      <c r="AI356"/>
      <c r="AJ356"/>
      <c r="AK356"/>
      <c r="AL356"/>
      <c r="AM356"/>
      <c r="AN356"/>
      <c r="AO356" s="148">
        <f t="shared" si="160"/>
        <v>8.9230000000000018</v>
      </c>
      <c r="AP356" s="195">
        <v>243</v>
      </c>
      <c r="AQ356" s="195" t="s">
        <v>528</v>
      </c>
      <c r="AR356" s="195" t="s">
        <v>524</v>
      </c>
      <c r="AS356" s="195" t="s">
        <v>520</v>
      </c>
      <c r="AT356" s="195" t="s">
        <v>527</v>
      </c>
      <c r="AU356" s="195" t="s">
        <v>530</v>
      </c>
      <c r="AV356" s="195" t="s">
        <v>522</v>
      </c>
      <c r="AW356" s="195" t="s">
        <v>525</v>
      </c>
      <c r="AX356" s="195" t="s">
        <v>521</v>
      </c>
      <c r="AZ356"/>
      <c r="BA356"/>
      <c r="BB356"/>
      <c r="BC356"/>
      <c r="BD356"/>
      <c r="BE356"/>
      <c r="BF356" s="152"/>
      <c r="BG356" s="152"/>
    </row>
    <row r="357" spans="1:59" s="90" customFormat="1" ht="14.25" customHeight="1" x14ac:dyDescent="0.2">
      <c r="A357" s="127"/>
      <c r="B357"/>
      <c r="C357" s="134"/>
      <c r="D357"/>
      <c r="E357"/>
      <c r="F357"/>
      <c r="G357"/>
      <c r="H357"/>
      <c r="I357"/>
      <c r="J357"/>
      <c r="K357"/>
      <c r="L357"/>
      <c r="M357"/>
      <c r="N357"/>
      <c r="O357"/>
      <c r="P357"/>
      <c r="Q357"/>
      <c r="R357"/>
      <c r="S357"/>
      <c r="T357"/>
      <c r="U357"/>
      <c r="V357"/>
      <c r="W357"/>
      <c r="X357" s="66"/>
      <c r="Y357" s="4"/>
      <c r="Z357" s="4"/>
      <c r="AA357" s="4"/>
      <c r="AB357" s="4"/>
      <c r="AC357" s="4"/>
      <c r="AD357" s="4"/>
      <c r="AE357" s="4"/>
      <c r="AF357" s="4"/>
      <c r="AG357"/>
      <c r="AH357"/>
      <c r="AI357"/>
      <c r="AJ357"/>
      <c r="AK357"/>
      <c r="AL357"/>
      <c r="AM357"/>
      <c r="AN357"/>
      <c r="AO357" s="148">
        <f t="shared" si="160"/>
        <v>8.9243000000000006</v>
      </c>
      <c r="AP357" s="195">
        <v>244</v>
      </c>
      <c r="AQ357" s="195" t="s">
        <v>528</v>
      </c>
      <c r="AR357" s="195" t="s">
        <v>524</v>
      </c>
      <c r="AS357" s="195" t="s">
        <v>520</v>
      </c>
      <c r="AT357" s="195" t="s">
        <v>527</v>
      </c>
      <c r="AU357" s="195" t="s">
        <v>530</v>
      </c>
      <c r="AV357" s="195" t="s">
        <v>522</v>
      </c>
      <c r="AW357" s="195" t="s">
        <v>521</v>
      </c>
      <c r="AX357" s="195" t="s">
        <v>526</v>
      </c>
      <c r="AZ357"/>
      <c r="BA357"/>
      <c r="BB357"/>
      <c r="BC357"/>
      <c r="BD357"/>
      <c r="BE357"/>
      <c r="BF357" s="152"/>
      <c r="BG357" s="152"/>
    </row>
    <row r="358" spans="1:59" s="90" customFormat="1" ht="14.25" customHeight="1" x14ac:dyDescent="0.2">
      <c r="A358" s="127"/>
      <c r="B358"/>
      <c r="C358" s="134"/>
      <c r="D358"/>
      <c r="E358"/>
      <c r="F358"/>
      <c r="G358"/>
      <c r="H358"/>
      <c r="I358"/>
      <c r="J358"/>
      <c r="K358"/>
      <c r="L358"/>
      <c r="M358"/>
      <c r="N358"/>
      <c r="O358"/>
      <c r="P358"/>
      <c r="Q358"/>
      <c r="R358"/>
      <c r="S358"/>
      <c r="T358"/>
      <c r="U358"/>
      <c r="V358"/>
      <c r="W358"/>
      <c r="X358" s="66"/>
      <c r="Y358" s="4"/>
      <c r="Z358" s="4"/>
      <c r="AA358" s="4"/>
      <c r="AB358" s="4"/>
      <c r="AC358" s="4"/>
      <c r="AD358" s="4"/>
      <c r="AE358" s="4"/>
      <c r="AF358" s="4"/>
      <c r="AG358"/>
      <c r="AH358"/>
      <c r="AI358"/>
      <c r="AJ358"/>
      <c r="AK358"/>
      <c r="AL358"/>
      <c r="AM358"/>
      <c r="AN358"/>
      <c r="AO358" s="148">
        <f t="shared" si="160"/>
        <v>8.9278000000000013</v>
      </c>
      <c r="AP358" s="195">
        <v>245</v>
      </c>
      <c r="AQ358" s="195" t="s">
        <v>523</v>
      </c>
      <c r="AR358" s="195" t="s">
        <v>524</v>
      </c>
      <c r="AS358" s="195" t="s">
        <v>522</v>
      </c>
      <c r="AT358" s="195" t="s">
        <v>528</v>
      </c>
      <c r="AU358" s="195" t="s">
        <v>530</v>
      </c>
      <c r="AV358" s="195" t="s">
        <v>527</v>
      </c>
      <c r="AW358" s="195" t="s">
        <v>525</v>
      </c>
      <c r="AX358" s="195" t="s">
        <v>526</v>
      </c>
      <c r="AZ358"/>
      <c r="BA358"/>
      <c r="BB358"/>
      <c r="BC358"/>
      <c r="BD358"/>
      <c r="BE358"/>
      <c r="BF358" s="152"/>
      <c r="BG358" s="152"/>
    </row>
    <row r="359" spans="1:59" s="90" customFormat="1" ht="14.25" customHeight="1" x14ac:dyDescent="0.2">
      <c r="A359" s="127"/>
      <c r="B359"/>
      <c r="C359" s="134"/>
      <c r="D359"/>
      <c r="E359"/>
      <c r="F359"/>
      <c r="G359"/>
      <c r="H359"/>
      <c r="I359"/>
      <c r="J359"/>
      <c r="K359"/>
      <c r="L359"/>
      <c r="M359"/>
      <c r="N359"/>
      <c r="O359"/>
      <c r="P359"/>
      <c r="Q359"/>
      <c r="R359"/>
      <c r="S359"/>
      <c r="T359"/>
      <c r="U359"/>
      <c r="V359"/>
      <c r="W359"/>
      <c r="X359" s="66"/>
      <c r="Y359" s="4"/>
      <c r="Z359" s="4"/>
      <c r="AA359" s="4"/>
      <c r="AB359" s="4"/>
      <c r="AC359" s="4"/>
      <c r="AD359" s="4"/>
      <c r="AE359" s="4"/>
      <c r="AF359" s="4"/>
      <c r="AG359"/>
      <c r="AH359"/>
      <c r="AI359"/>
      <c r="AJ359"/>
      <c r="AK359"/>
      <c r="AL359"/>
      <c r="AM359"/>
      <c r="AN359"/>
      <c r="AO359" s="148">
        <f t="shared" si="160"/>
        <v>8.9260000000000019</v>
      </c>
      <c r="AP359" s="195">
        <v>246</v>
      </c>
      <c r="AQ359" s="195" t="s">
        <v>528</v>
      </c>
      <c r="AR359" s="195" t="s">
        <v>524</v>
      </c>
      <c r="AS359" s="195" t="s">
        <v>520</v>
      </c>
      <c r="AT359" s="195" t="s">
        <v>527</v>
      </c>
      <c r="AU359" s="195" t="s">
        <v>530</v>
      </c>
      <c r="AV359" s="195" t="s">
        <v>522</v>
      </c>
      <c r="AW359" s="195" t="s">
        <v>525</v>
      </c>
      <c r="AX359" s="195" t="s">
        <v>523</v>
      </c>
      <c r="AZ359"/>
      <c r="BA359"/>
      <c r="BB359"/>
      <c r="BC359"/>
      <c r="BD359"/>
      <c r="BE359"/>
      <c r="BF359" s="152"/>
      <c r="BG359" s="152"/>
    </row>
    <row r="360" spans="1:59" s="90" customFormat="1" ht="14.25" customHeight="1" x14ac:dyDescent="0.2">
      <c r="A360" s="127"/>
      <c r="B360"/>
      <c r="C360" s="134"/>
      <c r="D360"/>
      <c r="E360"/>
      <c r="F360"/>
      <c r="G360"/>
      <c r="H360"/>
      <c r="I360"/>
      <c r="J360"/>
      <c r="K360"/>
      <c r="L360"/>
      <c r="M360"/>
      <c r="N360"/>
      <c r="O360"/>
      <c r="P360"/>
      <c r="Q360"/>
      <c r="R360"/>
      <c r="S360"/>
      <c r="T360"/>
      <c r="U360"/>
      <c r="V360"/>
      <c r="W360"/>
      <c r="X360" s="66"/>
      <c r="Y360" s="4"/>
      <c r="Z360" s="4"/>
      <c r="AA360" s="4"/>
      <c r="AB360" s="4"/>
      <c r="AC360" s="4"/>
      <c r="AD360" s="4"/>
      <c r="AE360" s="4"/>
      <c r="AF360" s="4"/>
      <c r="AG360"/>
      <c r="AH360"/>
      <c r="AI360"/>
      <c r="AJ360"/>
      <c r="AK360"/>
      <c r="AL360"/>
      <c r="AM360"/>
      <c r="AN360"/>
      <c r="AO360" s="148">
        <f t="shared" si="160"/>
        <v>8.9273000000000007</v>
      </c>
      <c r="AP360" s="195">
        <v>247</v>
      </c>
      <c r="AQ360" s="195" t="s">
        <v>523</v>
      </c>
      <c r="AR360" s="195" t="s">
        <v>524</v>
      </c>
      <c r="AS360" s="195" t="s">
        <v>520</v>
      </c>
      <c r="AT360" s="195" t="s">
        <v>528</v>
      </c>
      <c r="AU360" s="195" t="s">
        <v>530</v>
      </c>
      <c r="AV360" s="195" t="s">
        <v>522</v>
      </c>
      <c r="AW360" s="195" t="s">
        <v>527</v>
      </c>
      <c r="AX360" s="195" t="s">
        <v>526</v>
      </c>
      <c r="AZ360"/>
      <c r="BA360"/>
      <c r="BB360"/>
      <c r="BC360"/>
      <c r="BD360"/>
      <c r="BE360"/>
      <c r="BF360" s="152"/>
      <c r="BG360" s="152"/>
    </row>
    <row r="361" spans="1:59" s="90" customFormat="1" ht="14.25" customHeight="1" x14ac:dyDescent="0.2">
      <c r="A361" s="127"/>
      <c r="B361"/>
      <c r="C361" s="134"/>
      <c r="D361"/>
      <c r="E361"/>
      <c r="F361"/>
      <c r="G361"/>
      <c r="H361"/>
      <c r="I361"/>
      <c r="J361"/>
      <c r="K361"/>
      <c r="L361"/>
      <c r="M361"/>
      <c r="N361"/>
      <c r="O361"/>
      <c r="P361"/>
      <c r="Q361"/>
      <c r="R361"/>
      <c r="S361"/>
      <c r="T361"/>
      <c r="U361"/>
      <c r="V361"/>
      <c r="W361"/>
      <c r="X361" s="66"/>
      <c r="Y361" s="4"/>
      <c r="Z361" s="4"/>
      <c r="AA361" s="4"/>
      <c r="AB361" s="4"/>
      <c r="AC361" s="4"/>
      <c r="AD361" s="4"/>
      <c r="AE361" s="4"/>
      <c r="AF361" s="4"/>
      <c r="AG361"/>
      <c r="AH361"/>
      <c r="AI361"/>
      <c r="AJ361"/>
      <c r="AK361"/>
      <c r="AL361"/>
      <c r="AM361"/>
      <c r="AN361"/>
      <c r="AO361" s="148">
        <f t="shared" si="160"/>
        <v>8.9263000000000012</v>
      </c>
      <c r="AP361" s="195">
        <v>248</v>
      </c>
      <c r="AQ361" s="195" t="s">
        <v>523</v>
      </c>
      <c r="AR361" s="195" t="s">
        <v>524</v>
      </c>
      <c r="AS361" s="195" t="s">
        <v>522</v>
      </c>
      <c r="AT361" s="195" t="s">
        <v>528</v>
      </c>
      <c r="AU361" s="195" t="s">
        <v>530</v>
      </c>
      <c r="AV361" s="195" t="s">
        <v>527</v>
      </c>
      <c r="AW361" s="195" t="s">
        <v>525</v>
      </c>
      <c r="AX361" s="195" t="s">
        <v>521</v>
      </c>
      <c r="AZ361"/>
      <c r="BA361"/>
      <c r="BB361"/>
      <c r="BC361"/>
      <c r="BD361"/>
      <c r="BE361"/>
      <c r="BF361" s="152"/>
      <c r="BG361" s="152"/>
    </row>
    <row r="362" spans="1:59" s="90" customFormat="1" ht="14.25" customHeight="1" x14ac:dyDescent="0.2">
      <c r="A362" s="127"/>
      <c r="B362"/>
      <c r="C362" s="134"/>
      <c r="D362"/>
      <c r="E362"/>
      <c r="F362"/>
      <c r="G362"/>
      <c r="H362"/>
      <c r="I362"/>
      <c r="J362"/>
      <c r="K362"/>
      <c r="L362"/>
      <c r="M362"/>
      <c r="N362"/>
      <c r="O362"/>
      <c r="P362"/>
      <c r="Q362"/>
      <c r="R362"/>
      <c r="S362"/>
      <c r="T362"/>
      <c r="U362"/>
      <c r="V362"/>
      <c r="W362"/>
      <c r="X362" s="66"/>
      <c r="Y362" s="4"/>
      <c r="Z362" s="4"/>
      <c r="AA362" s="4"/>
      <c r="AB362" s="4"/>
      <c r="AC362" s="4"/>
      <c r="AD362" s="4"/>
      <c r="AE362" s="4"/>
      <c r="AF362" s="4"/>
      <c r="AG362"/>
      <c r="AH362"/>
      <c r="AI362"/>
      <c r="AJ362"/>
      <c r="AK362"/>
      <c r="AL362"/>
      <c r="AM362"/>
      <c r="AN362"/>
      <c r="AO362" s="148">
        <f t="shared" si="160"/>
        <v>8.9276000000000018</v>
      </c>
      <c r="AP362" s="195">
        <v>249</v>
      </c>
      <c r="AQ362" s="195" t="s">
        <v>523</v>
      </c>
      <c r="AR362" s="195" t="s">
        <v>524</v>
      </c>
      <c r="AS362" s="195" t="s">
        <v>522</v>
      </c>
      <c r="AT362" s="195" t="s">
        <v>528</v>
      </c>
      <c r="AU362" s="195" t="s">
        <v>530</v>
      </c>
      <c r="AV362" s="195" t="s">
        <v>527</v>
      </c>
      <c r="AW362" s="195" t="s">
        <v>521</v>
      </c>
      <c r="AX362" s="195" t="s">
        <v>526</v>
      </c>
      <c r="AZ362"/>
      <c r="BA362"/>
      <c r="BB362"/>
      <c r="BC362"/>
      <c r="BD362"/>
      <c r="BE362"/>
      <c r="BF362" s="152"/>
      <c r="BG362" s="152"/>
    </row>
    <row r="363" spans="1:59" s="90" customFormat="1" ht="14.25" customHeight="1" x14ac:dyDescent="0.2">
      <c r="A363" s="127"/>
      <c r="B363"/>
      <c r="C363" s="134"/>
      <c r="D363"/>
      <c r="E363"/>
      <c r="F363"/>
      <c r="G363"/>
      <c r="H363"/>
      <c r="I363"/>
      <c r="J363"/>
      <c r="K363"/>
      <c r="L363"/>
      <c r="M363"/>
      <c r="N363"/>
      <c r="O363"/>
      <c r="P363"/>
      <c r="Q363"/>
      <c r="R363"/>
      <c r="S363"/>
      <c r="T363"/>
      <c r="U363"/>
      <c r="V363"/>
      <c r="W363"/>
      <c r="X363" s="66"/>
      <c r="Y363" s="4"/>
      <c r="Z363" s="4"/>
      <c r="AA363" s="4"/>
      <c r="AB363" s="4"/>
      <c r="AC363" s="4"/>
      <c r="AD363" s="4"/>
      <c r="AE363" s="4"/>
      <c r="AF363" s="4"/>
      <c r="AG363"/>
      <c r="AH363"/>
      <c r="AI363"/>
      <c r="AJ363"/>
      <c r="AK363"/>
      <c r="AL363"/>
      <c r="AM363"/>
      <c r="AN363"/>
      <c r="AO363" s="148">
        <f t="shared" si="160"/>
        <v>8.9258000000000006</v>
      </c>
      <c r="AP363" s="195">
        <v>250</v>
      </c>
      <c r="AQ363" s="195" t="s">
        <v>523</v>
      </c>
      <c r="AR363" s="195" t="s">
        <v>524</v>
      </c>
      <c r="AS363" s="195" t="s">
        <v>520</v>
      </c>
      <c r="AT363" s="195" t="s">
        <v>528</v>
      </c>
      <c r="AU363" s="195" t="s">
        <v>530</v>
      </c>
      <c r="AV363" s="195" t="s">
        <v>522</v>
      </c>
      <c r="AW363" s="195" t="s">
        <v>527</v>
      </c>
      <c r="AX363" s="195" t="s">
        <v>521</v>
      </c>
      <c r="AZ363"/>
      <c r="BA363"/>
      <c r="BB363"/>
      <c r="BC363"/>
      <c r="BD363"/>
      <c r="BE363"/>
      <c r="BF363" s="152"/>
      <c r="BG363" s="152"/>
    </row>
    <row r="364" spans="1:59" s="90" customFormat="1" ht="14.25" customHeight="1" x14ac:dyDescent="0.2">
      <c r="A364" s="127"/>
      <c r="B364"/>
      <c r="C364" s="134"/>
      <c r="D364"/>
      <c r="E364"/>
      <c r="F364"/>
      <c r="G364"/>
      <c r="H364"/>
      <c r="I364"/>
      <c r="J364"/>
      <c r="K364"/>
      <c r="L364"/>
      <c r="M364"/>
      <c r="N364"/>
      <c r="O364"/>
      <c r="P364"/>
      <c r="Q364"/>
      <c r="R364"/>
      <c r="S364"/>
      <c r="T364"/>
      <c r="U364"/>
      <c r="V364"/>
      <c r="W364"/>
      <c r="X364" s="66"/>
      <c r="Y364" s="4"/>
      <c r="Z364" s="4"/>
      <c r="AA364" s="4"/>
      <c r="AB364" s="4"/>
      <c r="AC364" s="4"/>
      <c r="AD364" s="4"/>
      <c r="AE364" s="4"/>
      <c r="AF364" s="4"/>
      <c r="AG364"/>
      <c r="AH364"/>
      <c r="AI364"/>
      <c r="AJ364"/>
      <c r="AK364"/>
      <c r="AL364"/>
      <c r="AM364"/>
      <c r="AN364"/>
      <c r="AO364" s="148">
        <f t="shared" si="160"/>
        <v>8.9243000000000006</v>
      </c>
      <c r="AP364" s="195">
        <v>251</v>
      </c>
      <c r="AQ364" s="195" t="s">
        <v>519</v>
      </c>
      <c r="AR364" s="195" t="s">
        <v>520</v>
      </c>
      <c r="AS364" s="195" t="s">
        <v>521</v>
      </c>
      <c r="AT364" s="195" t="s">
        <v>528</v>
      </c>
      <c r="AU364" s="195" t="s">
        <v>530</v>
      </c>
      <c r="AV364" s="195" t="s">
        <v>527</v>
      </c>
      <c r="AW364" s="195" t="s">
        <v>525</v>
      </c>
      <c r="AX364" s="195" t="s">
        <v>526</v>
      </c>
      <c r="AZ364"/>
      <c r="BA364"/>
      <c r="BB364"/>
      <c r="BC364"/>
      <c r="BD364"/>
      <c r="BE364"/>
      <c r="BF364" s="152"/>
      <c r="BG364" s="152"/>
    </row>
    <row r="365" spans="1:59" s="90" customFormat="1" ht="14.25" customHeight="1" x14ac:dyDescent="0.2">
      <c r="A365" s="127"/>
      <c r="B365"/>
      <c r="C365" s="134"/>
      <c r="D365"/>
      <c r="E365"/>
      <c r="F365"/>
      <c r="G365"/>
      <c r="H365"/>
      <c r="I365"/>
      <c r="J365"/>
      <c r="K365"/>
      <c r="L365"/>
      <c r="M365"/>
      <c r="N365"/>
      <c r="O365"/>
      <c r="P365"/>
      <c r="Q365"/>
      <c r="R365"/>
      <c r="S365"/>
      <c r="T365"/>
      <c r="U365"/>
      <c r="V365"/>
      <c r="W365"/>
      <c r="X365" s="66"/>
      <c r="Y365" s="4"/>
      <c r="Z365" s="4"/>
      <c r="AA365" s="4"/>
      <c r="AB365" s="4"/>
      <c r="AC365" s="4"/>
      <c r="AD365" s="4"/>
      <c r="AE365" s="4"/>
      <c r="AF365" s="4"/>
      <c r="AG365"/>
      <c r="AH365"/>
      <c r="AI365"/>
      <c r="AJ365"/>
      <c r="AK365"/>
      <c r="AL365"/>
      <c r="AM365"/>
      <c r="AN365"/>
      <c r="AO365" s="148">
        <f t="shared" si="160"/>
        <v>8.9273000000000007</v>
      </c>
      <c r="AP365" s="195">
        <v>252</v>
      </c>
      <c r="AQ365" s="195" t="s">
        <v>523</v>
      </c>
      <c r="AR365" s="195" t="s">
        <v>520</v>
      </c>
      <c r="AS365" s="195" t="s">
        <v>519</v>
      </c>
      <c r="AT365" s="195" t="s">
        <v>528</v>
      </c>
      <c r="AU365" s="195" t="s">
        <v>530</v>
      </c>
      <c r="AV365" s="195" t="s">
        <v>527</v>
      </c>
      <c r="AW365" s="195" t="s">
        <v>525</v>
      </c>
      <c r="AX365" s="195" t="s">
        <v>526</v>
      </c>
      <c r="AZ365"/>
      <c r="BA365"/>
      <c r="BB365"/>
      <c r="BC365"/>
      <c r="BD365"/>
      <c r="BE365"/>
      <c r="BF365" s="152"/>
      <c r="BG365" s="152"/>
    </row>
    <row r="366" spans="1:59" s="90" customFormat="1" ht="14.25" customHeight="1" x14ac:dyDescent="0.2">
      <c r="A366" s="127"/>
      <c r="B366"/>
      <c r="C366" s="134"/>
      <c r="D366"/>
      <c r="E366"/>
      <c r="F366"/>
      <c r="G366"/>
      <c r="H366"/>
      <c r="I366"/>
      <c r="J366"/>
      <c r="K366"/>
      <c r="L366"/>
      <c r="M366"/>
      <c r="N366"/>
      <c r="O366"/>
      <c r="P366"/>
      <c r="Q366"/>
      <c r="R366"/>
      <c r="S366"/>
      <c r="T366"/>
      <c r="U366"/>
      <c r="V366"/>
      <c r="W366"/>
      <c r="X366" s="66"/>
      <c r="Y366" s="4"/>
      <c r="Z366" s="4"/>
      <c r="AA366" s="4"/>
      <c r="AB366" s="4"/>
      <c r="AC366" s="4"/>
      <c r="AD366" s="4"/>
      <c r="AE366" s="4"/>
      <c r="AF366" s="4"/>
      <c r="AG366"/>
      <c r="AH366"/>
      <c r="AI366"/>
      <c r="AJ366"/>
      <c r="AK366"/>
      <c r="AL366"/>
      <c r="AM366"/>
      <c r="AN366"/>
      <c r="AO366" s="148">
        <f t="shared" si="160"/>
        <v>8.9276000000000018</v>
      </c>
      <c r="AP366" s="195">
        <v>253</v>
      </c>
      <c r="AQ366" s="195" t="s">
        <v>523</v>
      </c>
      <c r="AR366" s="195" t="s">
        <v>519</v>
      </c>
      <c r="AS366" s="195" t="s">
        <v>521</v>
      </c>
      <c r="AT366" s="195" t="s">
        <v>528</v>
      </c>
      <c r="AU366" s="195" t="s">
        <v>530</v>
      </c>
      <c r="AV366" s="195" t="s">
        <v>527</v>
      </c>
      <c r="AW366" s="195" t="s">
        <v>525</v>
      </c>
      <c r="AX366" s="195" t="s">
        <v>526</v>
      </c>
      <c r="AZ366"/>
      <c r="BA366"/>
      <c r="BB366"/>
      <c r="BC366"/>
      <c r="BD366"/>
      <c r="BE366"/>
      <c r="BF366" s="152"/>
      <c r="BG366" s="152"/>
    </row>
    <row r="367" spans="1:59" s="90" customFormat="1" ht="14.25" customHeight="1" x14ac:dyDescent="0.2">
      <c r="A367" s="127"/>
      <c r="B367"/>
      <c r="C367" s="134"/>
      <c r="D367"/>
      <c r="E367"/>
      <c r="F367"/>
      <c r="G367"/>
      <c r="H367"/>
      <c r="I367"/>
      <c r="J367"/>
      <c r="K367"/>
      <c r="L367"/>
      <c r="M367"/>
      <c r="N367"/>
      <c r="O367"/>
      <c r="P367"/>
      <c r="Q367"/>
      <c r="R367"/>
      <c r="S367"/>
      <c r="T367"/>
      <c r="U367"/>
      <c r="V367"/>
      <c r="W367"/>
      <c r="X367" s="66"/>
      <c r="Y367" s="4"/>
      <c r="Z367" s="4"/>
      <c r="AA367" s="4"/>
      <c r="AB367" s="4"/>
      <c r="AC367" s="4"/>
      <c r="AD367" s="4"/>
      <c r="AE367" s="4"/>
      <c r="AF367" s="4"/>
      <c r="AG367"/>
      <c r="AH367"/>
      <c r="AI367"/>
      <c r="AJ367"/>
      <c r="AK367"/>
      <c r="AL367"/>
      <c r="AM367"/>
      <c r="AN367"/>
      <c r="AO367" s="148">
        <f t="shared" si="160"/>
        <v>8.9258000000000006</v>
      </c>
      <c r="AP367" s="195">
        <v>254</v>
      </c>
      <c r="AQ367" s="195" t="s">
        <v>523</v>
      </c>
      <c r="AR367" s="195" t="s">
        <v>520</v>
      </c>
      <c r="AS367" s="195" t="s">
        <v>519</v>
      </c>
      <c r="AT367" s="195" t="s">
        <v>528</v>
      </c>
      <c r="AU367" s="195" t="s">
        <v>530</v>
      </c>
      <c r="AV367" s="195" t="s">
        <v>527</v>
      </c>
      <c r="AW367" s="195" t="s">
        <v>525</v>
      </c>
      <c r="AX367" s="195" t="s">
        <v>521</v>
      </c>
      <c r="AZ367"/>
      <c r="BA367"/>
      <c r="BB367"/>
      <c r="BC367"/>
      <c r="BD367"/>
      <c r="BE367"/>
      <c r="BF367" s="152"/>
      <c r="BG367" s="152"/>
    </row>
    <row r="368" spans="1:59" s="90" customFormat="1" ht="14.25" customHeight="1" x14ac:dyDescent="0.2">
      <c r="A368" s="127"/>
      <c r="B368"/>
      <c r="C368" s="134"/>
      <c r="D368"/>
      <c r="E368"/>
      <c r="F368"/>
      <c r="G368"/>
      <c r="H368"/>
      <c r="I368"/>
      <c r="J368"/>
      <c r="K368"/>
      <c r="L368"/>
      <c r="M368"/>
      <c r="N368"/>
      <c r="O368"/>
      <c r="P368"/>
      <c r="Q368"/>
      <c r="R368"/>
      <c r="S368"/>
      <c r="T368"/>
      <c r="U368"/>
      <c r="V368"/>
      <c r="W368"/>
      <c r="X368" s="66"/>
      <c r="Y368" s="4"/>
      <c r="Z368" s="4"/>
      <c r="AA368" s="4"/>
      <c r="AB368" s="4"/>
      <c r="AC368" s="4"/>
      <c r="AD368" s="4"/>
      <c r="AE368" s="4"/>
      <c r="AF368" s="4"/>
      <c r="AG368"/>
      <c r="AH368"/>
      <c r="AI368"/>
      <c r="AJ368"/>
      <c r="AK368"/>
      <c r="AL368"/>
      <c r="AM368"/>
      <c r="AN368"/>
      <c r="AO368" s="148">
        <f t="shared" si="160"/>
        <v>8.9270999999999994</v>
      </c>
      <c r="AP368" s="195">
        <v>255</v>
      </c>
      <c r="AQ368" s="195" t="s">
        <v>523</v>
      </c>
      <c r="AR368" s="195" t="s">
        <v>520</v>
      </c>
      <c r="AS368" s="195" t="s">
        <v>519</v>
      </c>
      <c r="AT368" s="195" t="s">
        <v>528</v>
      </c>
      <c r="AU368" s="195" t="s">
        <v>530</v>
      </c>
      <c r="AV368" s="195" t="s">
        <v>527</v>
      </c>
      <c r="AW368" s="195" t="s">
        <v>521</v>
      </c>
      <c r="AX368" s="195" t="s">
        <v>526</v>
      </c>
      <c r="AZ368"/>
      <c r="BA368"/>
      <c r="BB368"/>
      <c r="BC368"/>
      <c r="BD368"/>
      <c r="BE368"/>
      <c r="BF368" s="152"/>
      <c r="BG368" s="152"/>
    </row>
    <row r="369" spans="1:59" s="90" customFormat="1" ht="14.25" customHeight="1" x14ac:dyDescent="0.2">
      <c r="A369" s="127"/>
      <c r="B369"/>
      <c r="C369" s="134"/>
      <c r="D369"/>
      <c r="E369"/>
      <c r="F369"/>
      <c r="G369"/>
      <c r="H369"/>
      <c r="I369"/>
      <c r="J369"/>
      <c r="K369"/>
      <c r="L369"/>
      <c r="M369"/>
      <c r="N369"/>
      <c r="O369"/>
      <c r="P369"/>
      <c r="Q369"/>
      <c r="R369"/>
      <c r="S369"/>
      <c r="T369"/>
      <c r="U369"/>
      <c r="V369"/>
      <c r="W369"/>
      <c r="X369" s="66"/>
      <c r="Y369" s="4"/>
      <c r="Z369" s="4"/>
      <c r="AA369" s="4"/>
      <c r="AB369" s="4"/>
      <c r="AC369" s="4"/>
      <c r="AD369" s="4"/>
      <c r="AE369" s="4"/>
      <c r="AF369" s="4"/>
      <c r="AG369"/>
      <c r="AH369"/>
      <c r="AI369"/>
      <c r="AJ369"/>
      <c r="AK369"/>
      <c r="AL369"/>
      <c r="AM369"/>
      <c r="AN369"/>
      <c r="AO369" s="148">
        <f t="shared" si="160"/>
        <v>8.924100000000001</v>
      </c>
      <c r="AP369" s="195">
        <v>256</v>
      </c>
      <c r="AQ369" s="195" t="s">
        <v>519</v>
      </c>
      <c r="AR369" s="195" t="s">
        <v>524</v>
      </c>
      <c r="AS369" s="195" t="s">
        <v>520</v>
      </c>
      <c r="AT369" s="195" t="s">
        <v>528</v>
      </c>
      <c r="AU369" s="195" t="s">
        <v>530</v>
      </c>
      <c r="AV369" s="195" t="s">
        <v>527</v>
      </c>
      <c r="AW369" s="195" t="s">
        <v>525</v>
      </c>
      <c r="AX369" s="195" t="s">
        <v>526</v>
      </c>
      <c r="AZ369"/>
      <c r="BA369"/>
      <c r="BB369"/>
      <c r="BC369"/>
      <c r="BD369"/>
      <c r="BE369"/>
      <c r="BF369" s="152"/>
      <c r="BG369" s="152"/>
    </row>
    <row r="370" spans="1:59" s="90" customFormat="1" ht="14.25" customHeight="1" x14ac:dyDescent="0.2">
      <c r="A370" s="127"/>
      <c r="B370"/>
      <c r="C370" s="134"/>
      <c r="D370"/>
      <c r="E370"/>
      <c r="F370"/>
      <c r="G370"/>
      <c r="H370"/>
      <c r="I370"/>
      <c r="J370"/>
      <c r="K370"/>
      <c r="L370"/>
      <c r="M370"/>
      <c r="N370"/>
      <c r="O370"/>
      <c r="P370"/>
      <c r="Q370"/>
      <c r="R370"/>
      <c r="S370"/>
      <c r="T370"/>
      <c r="U370"/>
      <c r="V370"/>
      <c r="W370"/>
      <c r="X370" s="66"/>
      <c r="Y370" s="4"/>
      <c r="Z370" s="4"/>
      <c r="AA370" s="4"/>
      <c r="AB370" s="4"/>
      <c r="AC370" s="4"/>
      <c r="AD370" s="4"/>
      <c r="AE370" s="4"/>
      <c r="AF370" s="4"/>
      <c r="AG370"/>
      <c r="AH370"/>
      <c r="AI370"/>
      <c r="AJ370"/>
      <c r="AK370"/>
      <c r="AL370"/>
      <c r="AM370"/>
      <c r="AN370"/>
      <c r="AO370" s="148">
        <f t="shared" ref="AO370:AO433" si="163">VLOOKUP(AQ370,$AN$98:$BA$109,14,0)+VLOOKUP(AR370,$AN$98:$BA$109,14,0)+VLOOKUP(AS370,$AN$98:$BA$109,14,0)+VLOOKUP(AT370,$AN$98:$BA$109,14,0)+VLOOKUP(AU370,$AN$98:$BA$109,14,0)+VLOOKUP(AV370,$AN$98:$BA$109,14,0)+VLOOKUP(AW370,$AN$98:$BA$109,14,0)+VLOOKUP(AX370,$AN$98:$BA$109,14,0)</f>
        <v>8.9244000000000021</v>
      </c>
      <c r="AP370" s="195">
        <v>257</v>
      </c>
      <c r="AQ370" s="195" t="s">
        <v>519</v>
      </c>
      <c r="AR370" s="195" t="s">
        <v>524</v>
      </c>
      <c r="AS370" s="195" t="s">
        <v>521</v>
      </c>
      <c r="AT370" s="195" t="s">
        <v>528</v>
      </c>
      <c r="AU370" s="195" t="s">
        <v>530</v>
      </c>
      <c r="AV370" s="195" t="s">
        <v>527</v>
      </c>
      <c r="AW370" s="195" t="s">
        <v>525</v>
      </c>
      <c r="AX370" s="195" t="s">
        <v>526</v>
      </c>
      <c r="AZ370"/>
      <c r="BA370"/>
      <c r="BB370"/>
      <c r="BC370"/>
      <c r="BD370"/>
      <c r="BE370"/>
      <c r="BF370" s="152"/>
      <c r="BG370" s="152"/>
    </row>
    <row r="371" spans="1:59" s="90" customFormat="1" ht="14.25" customHeight="1" x14ac:dyDescent="0.2">
      <c r="A371" s="127"/>
      <c r="B371"/>
      <c r="C371" s="134"/>
      <c r="D371"/>
      <c r="E371"/>
      <c r="F371"/>
      <c r="G371"/>
      <c r="H371"/>
      <c r="I371"/>
      <c r="J371"/>
      <c r="K371"/>
      <c r="L371"/>
      <c r="M371"/>
      <c r="N371"/>
      <c r="O371"/>
      <c r="P371"/>
      <c r="Q371"/>
      <c r="R371"/>
      <c r="S371"/>
      <c r="T371"/>
      <c r="U371"/>
      <c r="V371"/>
      <c r="W371"/>
      <c r="X371" s="66"/>
      <c r="Y371" s="4"/>
      <c r="Z371" s="4"/>
      <c r="AA371" s="4"/>
      <c r="AB371" s="4"/>
      <c r="AC371" s="4"/>
      <c r="AD371" s="4"/>
      <c r="AE371" s="4"/>
      <c r="AF371" s="4"/>
      <c r="AG371"/>
      <c r="AH371"/>
      <c r="AI371"/>
      <c r="AJ371"/>
      <c r="AK371"/>
      <c r="AL371"/>
      <c r="AM371"/>
      <c r="AN371"/>
      <c r="AO371" s="148">
        <f t="shared" si="163"/>
        <v>8.922600000000001</v>
      </c>
      <c r="AP371" s="195">
        <v>258</v>
      </c>
      <c r="AQ371" s="195" t="s">
        <v>519</v>
      </c>
      <c r="AR371" s="195" t="s">
        <v>524</v>
      </c>
      <c r="AS371" s="195" t="s">
        <v>520</v>
      </c>
      <c r="AT371" s="195" t="s">
        <v>528</v>
      </c>
      <c r="AU371" s="195" t="s">
        <v>530</v>
      </c>
      <c r="AV371" s="195" t="s">
        <v>527</v>
      </c>
      <c r="AW371" s="195" t="s">
        <v>525</v>
      </c>
      <c r="AX371" s="195" t="s">
        <v>521</v>
      </c>
      <c r="AZ371"/>
      <c r="BA371"/>
      <c r="BB371"/>
      <c r="BC371"/>
      <c r="BD371"/>
      <c r="BE371"/>
      <c r="BF371" s="152"/>
      <c r="BG371" s="152"/>
    </row>
    <row r="372" spans="1:59" s="90" customFormat="1" ht="14.25" customHeight="1" x14ac:dyDescent="0.2">
      <c r="A372" s="127"/>
      <c r="B372"/>
      <c r="C372" s="134"/>
      <c r="D372"/>
      <c r="E372"/>
      <c r="F372"/>
      <c r="G372"/>
      <c r="H372"/>
      <c r="I372"/>
      <c r="J372"/>
      <c r="K372"/>
      <c r="L372"/>
      <c r="M372"/>
      <c r="N372"/>
      <c r="O372"/>
      <c r="P372"/>
      <c r="Q372"/>
      <c r="R372"/>
      <c r="S372"/>
      <c r="T372"/>
      <c r="U372"/>
      <c r="V372"/>
      <c r="W372"/>
      <c r="X372" s="66"/>
      <c r="Y372" s="4"/>
      <c r="Z372" s="4"/>
      <c r="AA372" s="4"/>
      <c r="AB372" s="4"/>
      <c r="AC372" s="4"/>
      <c r="AD372" s="4"/>
      <c r="AE372" s="4"/>
      <c r="AF372" s="4"/>
      <c r="AG372"/>
      <c r="AH372"/>
      <c r="AI372"/>
      <c r="AJ372"/>
      <c r="AK372"/>
      <c r="AL372"/>
      <c r="AM372"/>
      <c r="AN372"/>
      <c r="AO372" s="148">
        <f t="shared" si="163"/>
        <v>8.9238999999999997</v>
      </c>
      <c r="AP372" s="195">
        <v>259</v>
      </c>
      <c r="AQ372" s="195" t="s">
        <v>519</v>
      </c>
      <c r="AR372" s="195" t="s">
        <v>524</v>
      </c>
      <c r="AS372" s="195" t="s">
        <v>520</v>
      </c>
      <c r="AT372" s="195" t="s">
        <v>528</v>
      </c>
      <c r="AU372" s="195" t="s">
        <v>530</v>
      </c>
      <c r="AV372" s="195" t="s">
        <v>527</v>
      </c>
      <c r="AW372" s="195" t="s">
        <v>521</v>
      </c>
      <c r="AX372" s="195" t="s">
        <v>526</v>
      </c>
      <c r="AZ372"/>
      <c r="BA372"/>
      <c r="BB372"/>
      <c r="BC372"/>
      <c r="BD372"/>
      <c r="BE372"/>
      <c r="BF372" s="152"/>
      <c r="BG372" s="152"/>
    </row>
    <row r="373" spans="1:59" s="90" customFormat="1" ht="14.25" customHeight="1" x14ac:dyDescent="0.2">
      <c r="A373" s="127"/>
      <c r="B373"/>
      <c r="C373" s="134"/>
      <c r="D373"/>
      <c r="E373"/>
      <c r="F373"/>
      <c r="G373"/>
      <c r="H373"/>
      <c r="I373"/>
      <c r="J373"/>
      <c r="K373"/>
      <c r="L373"/>
      <c r="M373"/>
      <c r="N373"/>
      <c r="O373"/>
      <c r="P373"/>
      <c r="Q373"/>
      <c r="R373"/>
      <c r="S373"/>
      <c r="T373"/>
      <c r="U373"/>
      <c r="V373"/>
      <c r="W373"/>
      <c r="X373" s="66"/>
      <c r="Y373" s="4"/>
      <c r="Z373" s="4"/>
      <c r="AA373" s="4"/>
      <c r="AB373" s="4"/>
      <c r="AC373" s="4"/>
      <c r="AD373" s="4"/>
      <c r="AE373" s="4"/>
      <c r="AF373" s="4"/>
      <c r="AG373"/>
      <c r="AH373"/>
      <c r="AI373"/>
      <c r="AJ373"/>
      <c r="AK373"/>
      <c r="AL373"/>
      <c r="AM373"/>
      <c r="AN373"/>
      <c r="AO373" s="148">
        <f t="shared" si="163"/>
        <v>8.9274000000000022</v>
      </c>
      <c r="AP373" s="195">
        <v>260</v>
      </c>
      <c r="AQ373" s="195" t="s">
        <v>523</v>
      </c>
      <c r="AR373" s="195" t="s">
        <v>524</v>
      </c>
      <c r="AS373" s="195" t="s">
        <v>519</v>
      </c>
      <c r="AT373" s="195" t="s">
        <v>528</v>
      </c>
      <c r="AU373" s="195" t="s">
        <v>530</v>
      </c>
      <c r="AV373" s="195" t="s">
        <v>527</v>
      </c>
      <c r="AW373" s="195" t="s">
        <v>525</v>
      </c>
      <c r="AX373" s="195" t="s">
        <v>526</v>
      </c>
      <c r="AZ373"/>
      <c r="BA373"/>
      <c r="BB373"/>
      <c r="BC373"/>
      <c r="BD373"/>
      <c r="BE373"/>
      <c r="BF373" s="152"/>
      <c r="BG373" s="152"/>
    </row>
    <row r="374" spans="1:59" s="90" customFormat="1" ht="14.25" customHeight="1" x14ac:dyDescent="0.2">
      <c r="A374" s="127"/>
      <c r="B374"/>
      <c r="C374" s="134"/>
      <c r="D374"/>
      <c r="E374"/>
      <c r="F374"/>
      <c r="G374"/>
      <c r="H374"/>
      <c r="I374"/>
      <c r="J374"/>
      <c r="K374"/>
      <c r="L374"/>
      <c r="M374"/>
      <c r="N374"/>
      <c r="O374"/>
      <c r="P374"/>
      <c r="Q374"/>
      <c r="R374"/>
      <c r="S374"/>
      <c r="T374"/>
      <c r="U374"/>
      <c r="V374"/>
      <c r="W374"/>
      <c r="X374" s="66"/>
      <c r="Y374" s="4"/>
      <c r="Z374" s="4"/>
      <c r="AA374" s="4"/>
      <c r="AB374" s="4"/>
      <c r="AC374" s="4"/>
      <c r="AD374" s="4"/>
      <c r="AE374" s="4"/>
      <c r="AF374" s="4"/>
      <c r="AG374"/>
      <c r="AH374"/>
      <c r="AI374"/>
      <c r="AJ374"/>
      <c r="AK374"/>
      <c r="AL374"/>
      <c r="AM374"/>
      <c r="AN374"/>
      <c r="AO374" s="148">
        <f t="shared" si="163"/>
        <v>8.9256000000000011</v>
      </c>
      <c r="AP374" s="195">
        <v>261</v>
      </c>
      <c r="AQ374" s="195" t="s">
        <v>523</v>
      </c>
      <c r="AR374" s="195" t="s">
        <v>524</v>
      </c>
      <c r="AS374" s="195" t="s">
        <v>520</v>
      </c>
      <c r="AT374" s="195" t="s">
        <v>528</v>
      </c>
      <c r="AU374" s="195" t="s">
        <v>530</v>
      </c>
      <c r="AV374" s="195" t="s">
        <v>527</v>
      </c>
      <c r="AW374" s="195" t="s">
        <v>525</v>
      </c>
      <c r="AX374" s="195" t="s">
        <v>519</v>
      </c>
      <c r="AZ374"/>
      <c r="BA374"/>
      <c r="BB374"/>
      <c r="BC374"/>
      <c r="BD374"/>
      <c r="BE374"/>
      <c r="BF374" s="152"/>
      <c r="BG374" s="152"/>
    </row>
    <row r="375" spans="1:59" s="90" customFormat="1" ht="14.25" customHeight="1" x14ac:dyDescent="0.2">
      <c r="A375" s="127"/>
      <c r="B375"/>
      <c r="C375" s="134"/>
      <c r="D375"/>
      <c r="E375"/>
      <c r="F375"/>
      <c r="G375"/>
      <c r="H375"/>
      <c r="I375"/>
      <c r="J375"/>
      <c r="K375"/>
      <c r="L375"/>
      <c r="M375"/>
      <c r="N375"/>
      <c r="O375"/>
      <c r="P375"/>
      <c r="Q375"/>
      <c r="R375"/>
      <c r="S375"/>
      <c r="T375"/>
      <c r="U375"/>
      <c r="V375"/>
      <c r="W375"/>
      <c r="X375" s="66"/>
      <c r="Y375" s="4"/>
      <c r="Z375" s="4"/>
      <c r="AA375" s="4"/>
      <c r="AB375" s="4"/>
      <c r="AC375" s="4"/>
      <c r="AD375" s="4"/>
      <c r="AE375" s="4"/>
      <c r="AF375" s="4"/>
      <c r="AG375"/>
      <c r="AH375"/>
      <c r="AI375"/>
      <c r="AJ375"/>
      <c r="AK375"/>
      <c r="AL375"/>
      <c r="AM375"/>
      <c r="AN375"/>
      <c r="AO375" s="148">
        <f t="shared" si="163"/>
        <v>8.9268999999999998</v>
      </c>
      <c r="AP375" s="195">
        <v>262</v>
      </c>
      <c r="AQ375" s="195" t="s">
        <v>523</v>
      </c>
      <c r="AR375" s="195" t="s">
        <v>524</v>
      </c>
      <c r="AS375" s="195" t="s">
        <v>520</v>
      </c>
      <c r="AT375" s="195" t="s">
        <v>528</v>
      </c>
      <c r="AU375" s="195" t="s">
        <v>530</v>
      </c>
      <c r="AV375" s="195" t="s">
        <v>527</v>
      </c>
      <c r="AW375" s="195" t="s">
        <v>519</v>
      </c>
      <c r="AX375" s="195" t="s">
        <v>526</v>
      </c>
      <c r="AZ375"/>
      <c r="BA375"/>
      <c r="BB375"/>
      <c r="BC375"/>
      <c r="BD375"/>
      <c r="BE375"/>
      <c r="BF375" s="152"/>
      <c r="BG375" s="152"/>
    </row>
    <row r="376" spans="1:59" s="90" customFormat="1" ht="14.25" customHeight="1" x14ac:dyDescent="0.2">
      <c r="A376" s="127"/>
      <c r="B376"/>
      <c r="C376" s="134"/>
      <c r="D376"/>
      <c r="E376"/>
      <c r="F376"/>
      <c r="G376"/>
      <c r="H376"/>
      <c r="I376"/>
      <c r="J376"/>
      <c r="K376"/>
      <c r="L376"/>
      <c r="M376"/>
      <c r="N376"/>
      <c r="O376"/>
      <c r="P376"/>
      <c r="Q376"/>
      <c r="R376"/>
      <c r="S376"/>
      <c r="T376"/>
      <c r="U376"/>
      <c r="V376"/>
      <c r="W376"/>
      <c r="X376" s="66"/>
      <c r="Y376" s="4"/>
      <c r="Z376" s="4"/>
      <c r="AA376" s="4"/>
      <c r="AB376" s="4"/>
      <c r="AC376" s="4"/>
      <c r="AD376" s="4"/>
      <c r="AE376" s="4"/>
      <c r="AF376" s="4"/>
      <c r="AG376"/>
      <c r="AH376"/>
      <c r="AI376"/>
      <c r="AJ376"/>
      <c r="AK376"/>
      <c r="AL376"/>
      <c r="AM376"/>
      <c r="AN376"/>
      <c r="AO376" s="148">
        <f t="shared" si="163"/>
        <v>8.9259000000000022</v>
      </c>
      <c r="AP376" s="195">
        <v>263</v>
      </c>
      <c r="AQ376" s="195" t="s">
        <v>523</v>
      </c>
      <c r="AR376" s="195" t="s">
        <v>524</v>
      </c>
      <c r="AS376" s="195" t="s">
        <v>519</v>
      </c>
      <c r="AT376" s="195" t="s">
        <v>528</v>
      </c>
      <c r="AU376" s="195" t="s">
        <v>530</v>
      </c>
      <c r="AV376" s="195" t="s">
        <v>527</v>
      </c>
      <c r="AW376" s="195" t="s">
        <v>525</v>
      </c>
      <c r="AX376" s="195" t="s">
        <v>521</v>
      </c>
      <c r="AZ376"/>
      <c r="BA376"/>
      <c r="BB376"/>
      <c r="BC376"/>
      <c r="BD376"/>
      <c r="BE376"/>
      <c r="BF376" s="152"/>
      <c r="BG376" s="152"/>
    </row>
    <row r="377" spans="1:59" s="90" customFormat="1" ht="14.25" customHeight="1" x14ac:dyDescent="0.2">
      <c r="A377" s="127"/>
      <c r="B377"/>
      <c r="C377" s="134"/>
      <c r="D377"/>
      <c r="E377"/>
      <c r="F377"/>
      <c r="G377"/>
      <c r="H377"/>
      <c r="I377"/>
      <c r="J377"/>
      <c r="K377"/>
      <c r="L377"/>
      <c r="M377"/>
      <c r="N377"/>
      <c r="O377"/>
      <c r="P377"/>
      <c r="Q377"/>
      <c r="R377"/>
      <c r="S377"/>
      <c r="T377"/>
      <c r="U377"/>
      <c r="V377"/>
      <c r="W377"/>
      <c r="X377" s="66"/>
      <c r="Y377" s="4"/>
      <c r="Z377" s="4"/>
      <c r="AA377" s="4"/>
      <c r="AB377" s="4"/>
      <c r="AC377" s="4"/>
      <c r="AD377" s="4"/>
      <c r="AE377" s="4"/>
      <c r="AF377" s="4"/>
      <c r="AG377"/>
      <c r="AH377"/>
      <c r="AI377"/>
      <c r="AJ377"/>
      <c r="AK377"/>
      <c r="AL377"/>
      <c r="AM377"/>
      <c r="AN377"/>
      <c r="AO377" s="148">
        <f t="shared" si="163"/>
        <v>8.9272000000000009</v>
      </c>
      <c r="AP377" s="195">
        <v>264</v>
      </c>
      <c r="AQ377" s="195" t="s">
        <v>523</v>
      </c>
      <c r="AR377" s="195" t="s">
        <v>524</v>
      </c>
      <c r="AS377" s="195" t="s">
        <v>519</v>
      </c>
      <c r="AT377" s="195" t="s">
        <v>528</v>
      </c>
      <c r="AU377" s="195" t="s">
        <v>530</v>
      </c>
      <c r="AV377" s="195" t="s">
        <v>527</v>
      </c>
      <c r="AW377" s="195" t="s">
        <v>521</v>
      </c>
      <c r="AX377" s="195" t="s">
        <v>526</v>
      </c>
      <c r="AZ377"/>
      <c r="BA377"/>
      <c r="BB377"/>
      <c r="BC377"/>
      <c r="BD377"/>
      <c r="BE377"/>
      <c r="BF377" s="152"/>
      <c r="BG377" s="152"/>
    </row>
    <row r="378" spans="1:59" s="90" customFormat="1" ht="14.25" customHeight="1" x14ac:dyDescent="0.2">
      <c r="A378" s="127"/>
      <c r="B378"/>
      <c r="C378" s="134"/>
      <c r="D378"/>
      <c r="E378"/>
      <c r="F378"/>
      <c r="G378"/>
      <c r="H378"/>
      <c r="I378"/>
      <c r="J378"/>
      <c r="K378"/>
      <c r="L378"/>
      <c r="M378"/>
      <c r="N378"/>
      <c r="O378"/>
      <c r="P378"/>
      <c r="Q378"/>
      <c r="R378"/>
      <c r="S378"/>
      <c r="T378"/>
      <c r="U378"/>
      <c r="V378"/>
      <c r="W378"/>
      <c r="X378" s="66"/>
      <c r="Y378" s="4"/>
      <c r="Z378" s="4"/>
      <c r="AA378" s="4"/>
      <c r="AB378" s="4"/>
      <c r="AC378" s="4"/>
      <c r="AD378" s="4"/>
      <c r="AE378" s="4"/>
      <c r="AF378" s="4"/>
      <c r="AG378"/>
      <c r="AH378"/>
      <c r="AI378"/>
      <c r="AJ378"/>
      <c r="AK378"/>
      <c r="AL378"/>
      <c r="AM378"/>
      <c r="AN378"/>
      <c r="AO378" s="148">
        <f t="shared" si="163"/>
        <v>8.9254000000000016</v>
      </c>
      <c r="AP378" s="195">
        <v>265</v>
      </c>
      <c r="AQ378" s="195" t="s">
        <v>523</v>
      </c>
      <c r="AR378" s="195" t="s">
        <v>524</v>
      </c>
      <c r="AS378" s="195" t="s">
        <v>520</v>
      </c>
      <c r="AT378" s="195" t="s">
        <v>528</v>
      </c>
      <c r="AU378" s="195" t="s">
        <v>530</v>
      </c>
      <c r="AV378" s="195" t="s">
        <v>527</v>
      </c>
      <c r="AW378" s="195" t="s">
        <v>519</v>
      </c>
      <c r="AX378" s="195" t="s">
        <v>521</v>
      </c>
      <c r="AZ378"/>
      <c r="BA378"/>
      <c r="BB378"/>
      <c r="BC378"/>
      <c r="BD378"/>
      <c r="BE378"/>
      <c r="BF378" s="152"/>
      <c r="BG378" s="152"/>
    </row>
    <row r="379" spans="1:59" s="90" customFormat="1" ht="14.25" customHeight="1" x14ac:dyDescent="0.2">
      <c r="A379" s="127"/>
      <c r="B379"/>
      <c r="C379" s="134"/>
      <c r="D379"/>
      <c r="E379"/>
      <c r="F379"/>
      <c r="G379"/>
      <c r="H379"/>
      <c r="I379"/>
      <c r="J379"/>
      <c r="K379"/>
      <c r="L379"/>
      <c r="M379"/>
      <c r="N379"/>
      <c r="O379"/>
      <c r="P379"/>
      <c r="Q379"/>
      <c r="R379"/>
      <c r="S379"/>
      <c r="T379"/>
      <c r="U379"/>
      <c r="V379"/>
      <c r="W379"/>
      <c r="X379" s="66"/>
      <c r="Y379" s="4"/>
      <c r="Z379" s="4"/>
      <c r="AA379" s="4"/>
      <c r="AB379" s="4"/>
      <c r="AC379" s="4"/>
      <c r="AD379" s="4"/>
      <c r="AE379" s="4"/>
      <c r="AF379" s="4"/>
      <c r="AG379"/>
      <c r="AH379"/>
      <c r="AI379"/>
      <c r="AJ379"/>
      <c r="AK379"/>
      <c r="AL379"/>
      <c r="AM379"/>
      <c r="AN379"/>
      <c r="AO379" s="148">
        <f t="shared" si="163"/>
        <v>8.9250000000000007</v>
      </c>
      <c r="AP379" s="195">
        <v>266</v>
      </c>
      <c r="AQ379" s="195" t="s">
        <v>528</v>
      </c>
      <c r="AR379" s="195" t="s">
        <v>520</v>
      </c>
      <c r="AS379" s="195" t="s">
        <v>519</v>
      </c>
      <c r="AT379" s="195" t="s">
        <v>527</v>
      </c>
      <c r="AU379" s="195" t="s">
        <v>530</v>
      </c>
      <c r="AV379" s="195" t="s">
        <v>522</v>
      </c>
      <c r="AW379" s="195" t="s">
        <v>525</v>
      </c>
      <c r="AX379" s="195" t="s">
        <v>526</v>
      </c>
      <c r="AZ379"/>
      <c r="BA379"/>
      <c r="BB379"/>
      <c r="BC379"/>
      <c r="BD379"/>
      <c r="BE379"/>
      <c r="BF379" s="152"/>
      <c r="BG379" s="152"/>
    </row>
    <row r="380" spans="1:59" s="90" customFormat="1" ht="14.25" customHeight="1" x14ac:dyDescent="0.2">
      <c r="A380" s="127"/>
      <c r="B380"/>
      <c r="C380" s="134"/>
      <c r="D380"/>
      <c r="E380"/>
      <c r="F380"/>
      <c r="G380"/>
      <c r="H380"/>
      <c r="I380"/>
      <c r="J380"/>
      <c r="K380"/>
      <c r="L380"/>
      <c r="M380"/>
      <c r="N380"/>
      <c r="O380"/>
      <c r="P380"/>
      <c r="Q380"/>
      <c r="R380"/>
      <c r="S380"/>
      <c r="T380"/>
      <c r="U380"/>
      <c r="V380"/>
      <c r="W380"/>
      <c r="X380" s="66"/>
      <c r="Y380" s="4"/>
      <c r="Z380" s="4"/>
      <c r="AA380" s="4"/>
      <c r="AB380" s="4"/>
      <c r="AC380" s="4"/>
      <c r="AD380" s="4"/>
      <c r="AE380" s="4"/>
      <c r="AF380" s="4"/>
      <c r="AG380"/>
      <c r="AH380"/>
      <c r="AI380"/>
      <c r="AJ380"/>
      <c r="AK380"/>
      <c r="AL380"/>
      <c r="AM380"/>
      <c r="AN380"/>
      <c r="AO380" s="148">
        <f t="shared" si="163"/>
        <v>8.9253</v>
      </c>
      <c r="AP380" s="195">
        <v>267</v>
      </c>
      <c r="AQ380" s="195" t="s">
        <v>528</v>
      </c>
      <c r="AR380" s="195" t="s">
        <v>519</v>
      </c>
      <c r="AS380" s="195" t="s">
        <v>521</v>
      </c>
      <c r="AT380" s="195" t="s">
        <v>527</v>
      </c>
      <c r="AU380" s="195" t="s">
        <v>530</v>
      </c>
      <c r="AV380" s="195" t="s">
        <v>522</v>
      </c>
      <c r="AW380" s="195" t="s">
        <v>525</v>
      </c>
      <c r="AX380" s="195" t="s">
        <v>526</v>
      </c>
      <c r="AZ380"/>
      <c r="BA380"/>
      <c r="BB380"/>
      <c r="BC380"/>
      <c r="BD380"/>
      <c r="BE380"/>
      <c r="BF380" s="152"/>
      <c r="BG380" s="152"/>
    </row>
    <row r="381" spans="1:59" s="90" customFormat="1" ht="14.25" customHeight="1" x14ac:dyDescent="0.2">
      <c r="A381" s="127"/>
      <c r="B381"/>
      <c r="C381" s="134"/>
      <c r="D381"/>
      <c r="E381"/>
      <c r="F381"/>
      <c r="G381"/>
      <c r="H381"/>
      <c r="I381"/>
      <c r="J381"/>
      <c r="K381"/>
      <c r="L381"/>
      <c r="M381"/>
      <c r="N381"/>
      <c r="O381"/>
      <c r="P381"/>
      <c r="Q381"/>
      <c r="R381"/>
      <c r="S381"/>
      <c r="T381"/>
      <c r="U381"/>
      <c r="V381"/>
      <c r="W381"/>
      <c r="X381" s="66"/>
      <c r="Y381" s="4"/>
      <c r="Z381" s="4"/>
      <c r="AA381" s="4"/>
      <c r="AB381" s="4"/>
      <c r="AC381" s="4"/>
      <c r="AD381" s="4"/>
      <c r="AE381" s="4"/>
      <c r="AF381" s="4"/>
      <c r="AG381"/>
      <c r="AH381"/>
      <c r="AI381"/>
      <c r="AJ381"/>
      <c r="AK381"/>
      <c r="AL381"/>
      <c r="AM381"/>
      <c r="AN381"/>
      <c r="AO381" s="148">
        <f t="shared" si="163"/>
        <v>8.9235000000000007</v>
      </c>
      <c r="AP381" s="195">
        <v>268</v>
      </c>
      <c r="AQ381" s="195" t="s">
        <v>528</v>
      </c>
      <c r="AR381" s="195" t="s">
        <v>520</v>
      </c>
      <c r="AS381" s="195" t="s">
        <v>519</v>
      </c>
      <c r="AT381" s="195" t="s">
        <v>527</v>
      </c>
      <c r="AU381" s="195" t="s">
        <v>530</v>
      </c>
      <c r="AV381" s="195" t="s">
        <v>522</v>
      </c>
      <c r="AW381" s="195" t="s">
        <v>525</v>
      </c>
      <c r="AX381" s="195" t="s">
        <v>521</v>
      </c>
      <c r="AZ381"/>
      <c r="BA381"/>
      <c r="BB381"/>
      <c r="BC381"/>
      <c r="BD381"/>
      <c r="BE381"/>
      <c r="BF381" s="152"/>
      <c r="BG381" s="152"/>
    </row>
    <row r="382" spans="1:59" s="90" customFormat="1" ht="14.25" customHeight="1" x14ac:dyDescent="0.2">
      <c r="A382" s="127"/>
      <c r="B382"/>
      <c r="C382" s="134"/>
      <c r="D382"/>
      <c r="E382"/>
      <c r="F382"/>
      <c r="G382"/>
      <c r="H382"/>
      <c r="I382"/>
      <c r="J382"/>
      <c r="K382"/>
      <c r="L382"/>
      <c r="M382"/>
      <c r="N382"/>
      <c r="O382"/>
      <c r="P382"/>
      <c r="Q382"/>
      <c r="R382"/>
      <c r="S382"/>
      <c r="T382"/>
      <c r="U382"/>
      <c r="V382"/>
      <c r="W382"/>
      <c r="X382" s="66"/>
      <c r="Y382" s="4"/>
      <c r="Z382" s="4"/>
      <c r="AA382" s="4"/>
      <c r="AB382" s="4"/>
      <c r="AC382" s="4"/>
      <c r="AD382" s="4"/>
      <c r="AE382" s="4"/>
      <c r="AF382" s="4"/>
      <c r="AG382"/>
      <c r="AH382"/>
      <c r="AI382"/>
      <c r="AJ382"/>
      <c r="AK382"/>
      <c r="AL382"/>
      <c r="AM382"/>
      <c r="AN382"/>
      <c r="AO382" s="148">
        <f t="shared" si="163"/>
        <v>8.9248000000000012</v>
      </c>
      <c r="AP382" s="195">
        <v>269</v>
      </c>
      <c r="AQ382" s="195" t="s">
        <v>528</v>
      </c>
      <c r="AR382" s="195" t="s">
        <v>520</v>
      </c>
      <c r="AS382" s="195" t="s">
        <v>519</v>
      </c>
      <c r="AT382" s="195" t="s">
        <v>527</v>
      </c>
      <c r="AU382" s="195" t="s">
        <v>530</v>
      </c>
      <c r="AV382" s="195" t="s">
        <v>522</v>
      </c>
      <c r="AW382" s="195" t="s">
        <v>521</v>
      </c>
      <c r="AX382" s="195" t="s">
        <v>526</v>
      </c>
      <c r="AZ382"/>
      <c r="BA382"/>
      <c r="BB382"/>
      <c r="BC382"/>
      <c r="BD382"/>
      <c r="BE382"/>
      <c r="BF382" s="152"/>
      <c r="BG382" s="152"/>
    </row>
    <row r="383" spans="1:59" s="90" customFormat="1" ht="14.25" customHeight="1" x14ac:dyDescent="0.2">
      <c r="A383" s="127"/>
      <c r="B383"/>
      <c r="C383" s="134"/>
      <c r="D383"/>
      <c r="E383"/>
      <c r="F383"/>
      <c r="G383"/>
      <c r="H383"/>
      <c r="I383"/>
      <c r="J383"/>
      <c r="K383"/>
      <c r="L383"/>
      <c r="M383"/>
      <c r="N383"/>
      <c r="O383"/>
      <c r="P383"/>
      <c r="Q383"/>
      <c r="R383"/>
      <c r="S383"/>
      <c r="T383"/>
      <c r="U383"/>
      <c r="V383"/>
      <c r="W383"/>
      <c r="X383" s="66"/>
      <c r="Y383" s="4"/>
      <c r="Z383" s="4"/>
      <c r="AA383" s="4"/>
      <c r="AB383" s="4"/>
      <c r="AC383" s="4"/>
      <c r="AD383" s="4"/>
      <c r="AE383" s="4"/>
      <c r="AF383" s="4"/>
      <c r="AG383"/>
      <c r="AH383"/>
      <c r="AI383"/>
      <c r="AJ383"/>
      <c r="AK383"/>
      <c r="AL383"/>
      <c r="AM383"/>
      <c r="AN383"/>
      <c r="AO383" s="148">
        <f t="shared" si="163"/>
        <v>8.9283000000000001</v>
      </c>
      <c r="AP383" s="195">
        <v>270</v>
      </c>
      <c r="AQ383" s="195" t="s">
        <v>523</v>
      </c>
      <c r="AR383" s="195" t="s">
        <v>519</v>
      </c>
      <c r="AS383" s="195" t="s">
        <v>522</v>
      </c>
      <c r="AT383" s="195" t="s">
        <v>528</v>
      </c>
      <c r="AU383" s="195" t="s">
        <v>530</v>
      </c>
      <c r="AV383" s="195" t="s">
        <v>527</v>
      </c>
      <c r="AW383" s="195" t="s">
        <v>525</v>
      </c>
      <c r="AX383" s="195" t="s">
        <v>526</v>
      </c>
      <c r="AZ383"/>
      <c r="BA383"/>
      <c r="BB383"/>
      <c r="BC383"/>
      <c r="BD383"/>
      <c r="BE383"/>
      <c r="BF383" s="152"/>
      <c r="BG383" s="152"/>
    </row>
    <row r="384" spans="1:59" s="90" customFormat="1" ht="14.25" customHeight="1" x14ac:dyDescent="0.2">
      <c r="A384" s="127"/>
      <c r="B384"/>
      <c r="C384" s="134"/>
      <c r="D384"/>
      <c r="E384"/>
      <c r="F384"/>
      <c r="G384"/>
      <c r="H384"/>
      <c r="I384"/>
      <c r="J384"/>
      <c r="K384"/>
      <c r="L384"/>
      <c r="M384"/>
      <c r="N384"/>
      <c r="O384"/>
      <c r="P384"/>
      <c r="Q384"/>
      <c r="R384"/>
      <c r="S384"/>
      <c r="T384"/>
      <c r="U384"/>
      <c r="V384"/>
      <c r="W384"/>
      <c r="X384" s="66"/>
      <c r="Y384" s="4"/>
      <c r="Z384" s="4"/>
      <c r="AA384" s="4"/>
      <c r="AB384" s="4"/>
      <c r="AC384" s="4"/>
      <c r="AD384" s="4"/>
      <c r="AE384" s="4"/>
      <c r="AF384" s="4"/>
      <c r="AG384"/>
      <c r="AH384"/>
      <c r="AI384"/>
      <c r="AJ384"/>
      <c r="AK384"/>
      <c r="AL384"/>
      <c r="AM384"/>
      <c r="AN384"/>
      <c r="AO384" s="148">
        <f t="shared" si="163"/>
        <v>8.9265000000000008</v>
      </c>
      <c r="AP384" s="195">
        <v>271</v>
      </c>
      <c r="AQ384" s="195" t="s">
        <v>523</v>
      </c>
      <c r="AR384" s="195" t="s">
        <v>520</v>
      </c>
      <c r="AS384" s="195" t="s">
        <v>522</v>
      </c>
      <c r="AT384" s="195" t="s">
        <v>528</v>
      </c>
      <c r="AU384" s="195" t="s">
        <v>530</v>
      </c>
      <c r="AV384" s="195" t="s">
        <v>527</v>
      </c>
      <c r="AW384" s="195" t="s">
        <v>525</v>
      </c>
      <c r="AX384" s="195" t="s">
        <v>519</v>
      </c>
      <c r="AZ384"/>
      <c r="BA384"/>
      <c r="BB384"/>
      <c r="BC384"/>
      <c r="BD384"/>
      <c r="BE384"/>
      <c r="BF384" s="152"/>
      <c r="BG384" s="152"/>
    </row>
    <row r="385" spans="1:59" s="90" customFormat="1" ht="14.25" customHeight="1" x14ac:dyDescent="0.2">
      <c r="A385" s="127"/>
      <c r="B385"/>
      <c r="C385" s="134"/>
      <c r="D385"/>
      <c r="E385"/>
      <c r="F385"/>
      <c r="G385"/>
      <c r="H385"/>
      <c r="I385"/>
      <c r="J385"/>
      <c r="K385"/>
      <c r="L385"/>
      <c r="M385"/>
      <c r="N385"/>
      <c r="O385"/>
      <c r="P385"/>
      <c r="Q385"/>
      <c r="R385"/>
      <c r="S385"/>
      <c r="T385"/>
      <c r="U385"/>
      <c r="V385"/>
      <c r="W385"/>
      <c r="X385" s="66"/>
      <c r="Y385" s="4"/>
      <c r="Z385" s="4"/>
      <c r="AA385" s="4"/>
      <c r="AB385" s="4"/>
      <c r="AC385" s="4"/>
      <c r="AD385" s="4"/>
      <c r="AE385" s="4"/>
      <c r="AF385" s="4"/>
      <c r="AG385"/>
      <c r="AH385"/>
      <c r="AI385"/>
      <c r="AJ385"/>
      <c r="AK385"/>
      <c r="AL385"/>
      <c r="AM385"/>
      <c r="AN385"/>
      <c r="AO385" s="148">
        <f t="shared" si="163"/>
        <v>8.9278000000000013</v>
      </c>
      <c r="AP385" s="195">
        <v>272</v>
      </c>
      <c r="AQ385" s="195" t="s">
        <v>523</v>
      </c>
      <c r="AR385" s="195" t="s">
        <v>520</v>
      </c>
      <c r="AS385" s="195" t="s">
        <v>519</v>
      </c>
      <c r="AT385" s="195" t="s">
        <v>528</v>
      </c>
      <c r="AU385" s="195" t="s">
        <v>530</v>
      </c>
      <c r="AV385" s="195" t="s">
        <v>522</v>
      </c>
      <c r="AW385" s="195" t="s">
        <v>527</v>
      </c>
      <c r="AX385" s="195" t="s">
        <v>526</v>
      </c>
      <c r="AZ385"/>
      <c r="BA385"/>
      <c r="BB385"/>
      <c r="BC385"/>
      <c r="BD385"/>
      <c r="BE385"/>
      <c r="BF385" s="152"/>
      <c r="BG385" s="152"/>
    </row>
    <row r="386" spans="1:59" s="90" customFormat="1" ht="14.25" customHeight="1" x14ac:dyDescent="0.2">
      <c r="A386" s="127"/>
      <c r="B386"/>
      <c r="C386" s="134"/>
      <c r="D386"/>
      <c r="E386"/>
      <c r="F386"/>
      <c r="G386"/>
      <c r="H386"/>
      <c r="I386"/>
      <c r="J386"/>
      <c r="K386"/>
      <c r="L386"/>
      <c r="M386"/>
      <c r="N386"/>
      <c r="O386"/>
      <c r="P386"/>
      <c r="Q386"/>
      <c r="R386"/>
      <c r="S386"/>
      <c r="T386"/>
      <c r="U386"/>
      <c r="V386"/>
      <c r="W386"/>
      <c r="X386" s="66"/>
      <c r="Y386" s="4"/>
      <c r="Z386" s="4"/>
      <c r="AA386" s="4"/>
      <c r="AB386" s="4"/>
      <c r="AC386" s="4"/>
      <c r="AD386" s="4"/>
      <c r="AE386" s="4"/>
      <c r="AF386" s="4"/>
      <c r="AG386"/>
      <c r="AH386"/>
      <c r="AI386"/>
      <c r="AJ386"/>
      <c r="AK386"/>
      <c r="AL386"/>
      <c r="AM386"/>
      <c r="AN386"/>
      <c r="AO386" s="148">
        <f t="shared" si="163"/>
        <v>8.9268000000000018</v>
      </c>
      <c r="AP386" s="195">
        <v>273</v>
      </c>
      <c r="AQ386" s="195" t="s">
        <v>523</v>
      </c>
      <c r="AR386" s="195" t="s">
        <v>519</v>
      </c>
      <c r="AS386" s="195" t="s">
        <v>522</v>
      </c>
      <c r="AT386" s="195" t="s">
        <v>528</v>
      </c>
      <c r="AU386" s="195" t="s">
        <v>530</v>
      </c>
      <c r="AV386" s="195" t="s">
        <v>527</v>
      </c>
      <c r="AW386" s="195" t="s">
        <v>525</v>
      </c>
      <c r="AX386" s="195" t="s">
        <v>521</v>
      </c>
      <c r="AZ386"/>
      <c r="BA386"/>
      <c r="BB386"/>
      <c r="BC386"/>
      <c r="BD386"/>
      <c r="BE386"/>
      <c r="BF386" s="152"/>
      <c r="BG386" s="152"/>
    </row>
    <row r="387" spans="1:59" s="90" customFormat="1" ht="14.25" customHeight="1" x14ac:dyDescent="0.2">
      <c r="A387" s="127"/>
      <c r="B387"/>
      <c r="C387" s="134"/>
      <c r="D387"/>
      <c r="E387"/>
      <c r="F387"/>
      <c r="G387"/>
      <c r="H387"/>
      <c r="I387"/>
      <c r="J387"/>
      <c r="K387"/>
      <c r="L387"/>
      <c r="M387"/>
      <c r="N387"/>
      <c r="O387"/>
      <c r="P387"/>
      <c r="Q387"/>
      <c r="R387"/>
      <c r="S387"/>
      <c r="T387"/>
      <c r="U387"/>
      <c r="V387"/>
      <c r="W387"/>
      <c r="X387" s="66"/>
      <c r="Y387" s="4"/>
      <c r="Z387" s="4"/>
      <c r="AA387" s="4"/>
      <c r="AB387" s="4"/>
      <c r="AC387" s="4"/>
      <c r="AD387" s="4"/>
      <c r="AE387" s="4"/>
      <c r="AF387" s="4"/>
      <c r="AG387"/>
      <c r="AH387"/>
      <c r="AI387"/>
      <c r="AJ387"/>
      <c r="AK387"/>
      <c r="AL387"/>
      <c r="AM387"/>
      <c r="AN387"/>
      <c r="AO387" s="148">
        <f t="shared" si="163"/>
        <v>8.9281000000000006</v>
      </c>
      <c r="AP387" s="195">
        <v>274</v>
      </c>
      <c r="AQ387" s="195" t="s">
        <v>523</v>
      </c>
      <c r="AR387" s="195" t="s">
        <v>519</v>
      </c>
      <c r="AS387" s="195" t="s">
        <v>522</v>
      </c>
      <c r="AT387" s="195" t="s">
        <v>528</v>
      </c>
      <c r="AU387" s="195" t="s">
        <v>530</v>
      </c>
      <c r="AV387" s="195" t="s">
        <v>527</v>
      </c>
      <c r="AW387" s="195" t="s">
        <v>521</v>
      </c>
      <c r="AX387" s="195" t="s">
        <v>526</v>
      </c>
      <c r="AZ387"/>
      <c r="BA387"/>
      <c r="BB387"/>
      <c r="BC387"/>
      <c r="BD387"/>
      <c r="BE387"/>
      <c r="BF387" s="152"/>
      <c r="BG387" s="152"/>
    </row>
    <row r="388" spans="1:59" s="90" customFormat="1" ht="14.25" customHeight="1" x14ac:dyDescent="0.2">
      <c r="A388" s="127"/>
      <c r="B388"/>
      <c r="C388" s="134"/>
      <c r="D388"/>
      <c r="E388"/>
      <c r="F388"/>
      <c r="G388"/>
      <c r="H388"/>
      <c r="I388"/>
      <c r="J388"/>
      <c r="K388"/>
      <c r="L388"/>
      <c r="M388"/>
      <c r="N388"/>
      <c r="O388"/>
      <c r="P388"/>
      <c r="Q388"/>
      <c r="R388"/>
      <c r="S388"/>
      <c r="T388"/>
      <c r="U388"/>
      <c r="V388"/>
      <c r="W388"/>
      <c r="X388" s="66"/>
      <c r="Y388" s="4"/>
      <c r="Z388" s="4"/>
      <c r="AA388" s="4"/>
      <c r="AB388" s="4"/>
      <c r="AC388" s="4"/>
      <c r="AD388" s="4"/>
      <c r="AE388" s="4"/>
      <c r="AF388" s="4"/>
      <c r="AG388"/>
      <c r="AH388"/>
      <c r="AI388"/>
      <c r="AJ388"/>
      <c r="AK388"/>
      <c r="AL388"/>
      <c r="AM388"/>
      <c r="AN388"/>
      <c r="AO388" s="148">
        <f t="shared" si="163"/>
        <v>8.9263000000000012</v>
      </c>
      <c r="AP388" s="195">
        <v>275</v>
      </c>
      <c r="AQ388" s="195" t="s">
        <v>523</v>
      </c>
      <c r="AR388" s="195" t="s">
        <v>520</v>
      </c>
      <c r="AS388" s="195" t="s">
        <v>519</v>
      </c>
      <c r="AT388" s="195" t="s">
        <v>528</v>
      </c>
      <c r="AU388" s="195" t="s">
        <v>530</v>
      </c>
      <c r="AV388" s="195" t="s">
        <v>522</v>
      </c>
      <c r="AW388" s="195" t="s">
        <v>527</v>
      </c>
      <c r="AX388" s="195" t="s">
        <v>521</v>
      </c>
      <c r="AZ388"/>
      <c r="BA388"/>
      <c r="BB388"/>
      <c r="BC388"/>
      <c r="BD388"/>
      <c r="BE388"/>
      <c r="BF388" s="152"/>
      <c r="BG388" s="152"/>
    </row>
    <row r="389" spans="1:59" s="90" customFormat="1" ht="14.25" customHeight="1" x14ac:dyDescent="0.2">
      <c r="A389" s="127"/>
      <c r="B389"/>
      <c r="C389" s="134"/>
      <c r="D389"/>
      <c r="E389"/>
      <c r="F389"/>
      <c r="G389"/>
      <c r="H389"/>
      <c r="I389"/>
      <c r="J389"/>
      <c r="K389"/>
      <c r="L389"/>
      <c r="M389"/>
      <c r="N389"/>
      <c r="O389"/>
      <c r="P389"/>
      <c r="Q389"/>
      <c r="R389"/>
      <c r="S389"/>
      <c r="T389"/>
      <c r="U389"/>
      <c r="V389"/>
      <c r="W389"/>
      <c r="X389" s="66"/>
      <c r="Y389" s="4"/>
      <c r="Z389" s="4"/>
      <c r="AA389" s="4"/>
      <c r="AB389" s="4"/>
      <c r="AC389" s="4"/>
      <c r="AD389" s="4"/>
      <c r="AE389" s="4"/>
      <c r="AF389" s="4"/>
      <c r="AG389"/>
      <c r="AH389"/>
      <c r="AI389"/>
      <c r="AJ389"/>
      <c r="AK389"/>
      <c r="AL389"/>
      <c r="AM389"/>
      <c r="AN389"/>
      <c r="AO389" s="148">
        <f t="shared" si="163"/>
        <v>8.9251000000000005</v>
      </c>
      <c r="AP389" s="195">
        <v>276</v>
      </c>
      <c r="AQ389" s="195" t="s">
        <v>528</v>
      </c>
      <c r="AR389" s="195" t="s">
        <v>524</v>
      </c>
      <c r="AS389" s="195" t="s">
        <v>519</v>
      </c>
      <c r="AT389" s="195" t="s">
        <v>527</v>
      </c>
      <c r="AU389" s="195" t="s">
        <v>530</v>
      </c>
      <c r="AV389" s="195" t="s">
        <v>522</v>
      </c>
      <c r="AW389" s="195" t="s">
        <v>525</v>
      </c>
      <c r="AX389" s="195" t="s">
        <v>526</v>
      </c>
      <c r="AZ389"/>
      <c r="BA389"/>
      <c r="BB389"/>
      <c r="BC389"/>
      <c r="BD389"/>
      <c r="BE389"/>
      <c r="BF389" s="152"/>
      <c r="BG389" s="152"/>
    </row>
    <row r="390" spans="1:59" s="90" customFormat="1" ht="14.25" customHeight="1" x14ac:dyDescent="0.2">
      <c r="A390" s="127"/>
      <c r="B390"/>
      <c r="C390" s="134"/>
      <c r="D390"/>
      <c r="E390"/>
      <c r="F390"/>
      <c r="G390"/>
      <c r="H390"/>
      <c r="I390"/>
      <c r="J390"/>
      <c r="K390"/>
      <c r="L390"/>
      <c r="M390"/>
      <c r="N390"/>
      <c r="O390"/>
      <c r="P390"/>
      <c r="Q390"/>
      <c r="R390"/>
      <c r="S390"/>
      <c r="T390"/>
      <c r="U390"/>
      <c r="V390"/>
      <c r="W390"/>
      <c r="X390" s="66"/>
      <c r="Y390" s="4"/>
      <c r="Z390" s="4"/>
      <c r="AA390" s="4"/>
      <c r="AB390" s="4"/>
      <c r="AC390" s="4"/>
      <c r="AD390" s="4"/>
      <c r="AE390" s="4"/>
      <c r="AF390" s="4"/>
      <c r="AG390"/>
      <c r="AH390"/>
      <c r="AI390"/>
      <c r="AJ390"/>
      <c r="AK390"/>
      <c r="AL390"/>
      <c r="AM390"/>
      <c r="AN390"/>
      <c r="AO390" s="148">
        <f t="shared" si="163"/>
        <v>8.9233000000000011</v>
      </c>
      <c r="AP390" s="195">
        <v>277</v>
      </c>
      <c r="AQ390" s="195" t="s">
        <v>528</v>
      </c>
      <c r="AR390" s="195" t="s">
        <v>524</v>
      </c>
      <c r="AS390" s="195" t="s">
        <v>520</v>
      </c>
      <c r="AT390" s="195" t="s">
        <v>527</v>
      </c>
      <c r="AU390" s="195" t="s">
        <v>530</v>
      </c>
      <c r="AV390" s="195" t="s">
        <v>522</v>
      </c>
      <c r="AW390" s="195" t="s">
        <v>525</v>
      </c>
      <c r="AX390" s="195" t="s">
        <v>519</v>
      </c>
      <c r="AZ390"/>
      <c r="BA390"/>
      <c r="BB390"/>
      <c r="BC390"/>
      <c r="BD390"/>
      <c r="BE390"/>
      <c r="BF390" s="152"/>
      <c r="BG390" s="152"/>
    </row>
    <row r="391" spans="1:59" s="90" customFormat="1" ht="14.25" customHeight="1" x14ac:dyDescent="0.2">
      <c r="A391" s="127"/>
      <c r="B391"/>
      <c r="C391" s="134"/>
      <c r="D391"/>
      <c r="E391"/>
      <c r="F391"/>
      <c r="G391"/>
      <c r="H391"/>
      <c r="I391"/>
      <c r="J391"/>
      <c r="K391"/>
      <c r="L391"/>
      <c r="M391"/>
      <c r="N391"/>
      <c r="O391"/>
      <c r="P391"/>
      <c r="Q391"/>
      <c r="R391"/>
      <c r="S391"/>
      <c r="T391"/>
      <c r="U391"/>
      <c r="V391"/>
      <c r="W391"/>
      <c r="X391" s="66"/>
      <c r="Y391" s="4"/>
      <c r="Z391" s="4"/>
      <c r="AA391" s="4"/>
      <c r="AB391" s="4"/>
      <c r="AC391" s="4"/>
      <c r="AD391" s="4"/>
      <c r="AE391" s="4"/>
      <c r="AF391" s="4"/>
      <c r="AG391"/>
      <c r="AH391"/>
      <c r="AI391"/>
      <c r="AJ391"/>
      <c r="AK391"/>
      <c r="AL391"/>
      <c r="AM391"/>
      <c r="AN391"/>
      <c r="AO391" s="148">
        <f t="shared" si="163"/>
        <v>8.9246000000000016</v>
      </c>
      <c r="AP391" s="195">
        <v>278</v>
      </c>
      <c r="AQ391" s="195" t="s">
        <v>528</v>
      </c>
      <c r="AR391" s="195" t="s">
        <v>524</v>
      </c>
      <c r="AS391" s="195" t="s">
        <v>520</v>
      </c>
      <c r="AT391" s="195" t="s">
        <v>527</v>
      </c>
      <c r="AU391" s="195" t="s">
        <v>530</v>
      </c>
      <c r="AV391" s="195" t="s">
        <v>522</v>
      </c>
      <c r="AW391" s="195" t="s">
        <v>519</v>
      </c>
      <c r="AX391" s="195" t="s">
        <v>526</v>
      </c>
      <c r="AZ391"/>
      <c r="BA391"/>
      <c r="BB391"/>
      <c r="BC391"/>
      <c r="BD391"/>
      <c r="BE391"/>
      <c r="BF391" s="152"/>
      <c r="BG391" s="152"/>
    </row>
    <row r="392" spans="1:59" s="90" customFormat="1" ht="14.25" customHeight="1" x14ac:dyDescent="0.2">
      <c r="A392" s="127"/>
      <c r="B392"/>
      <c r="C392" s="134"/>
      <c r="D392"/>
      <c r="E392"/>
      <c r="F392"/>
      <c r="G392"/>
      <c r="H392"/>
      <c r="I392"/>
      <c r="J392"/>
      <c r="K392"/>
      <c r="L392"/>
      <c r="M392"/>
      <c r="N392"/>
      <c r="O392"/>
      <c r="P392"/>
      <c r="Q392"/>
      <c r="R392"/>
      <c r="S392"/>
      <c r="T392"/>
      <c r="U392"/>
      <c r="V392"/>
      <c r="W392"/>
      <c r="X392" s="66"/>
      <c r="Y392" s="4"/>
      <c r="Z392" s="4"/>
      <c r="AA392" s="4"/>
      <c r="AB392" s="4"/>
      <c r="AC392" s="4"/>
      <c r="AD392" s="4"/>
      <c r="AE392" s="4"/>
      <c r="AF392" s="4"/>
      <c r="AG392"/>
      <c r="AH392"/>
      <c r="AI392"/>
      <c r="AJ392"/>
      <c r="AK392"/>
      <c r="AL392"/>
      <c r="AM392"/>
      <c r="AN392"/>
      <c r="AO392" s="148">
        <f t="shared" si="163"/>
        <v>8.9236000000000022</v>
      </c>
      <c r="AP392" s="195">
        <v>279</v>
      </c>
      <c r="AQ392" s="195" t="s">
        <v>528</v>
      </c>
      <c r="AR392" s="195" t="s">
        <v>524</v>
      </c>
      <c r="AS392" s="195" t="s">
        <v>519</v>
      </c>
      <c r="AT392" s="195" t="s">
        <v>527</v>
      </c>
      <c r="AU392" s="195" t="s">
        <v>530</v>
      </c>
      <c r="AV392" s="195" t="s">
        <v>522</v>
      </c>
      <c r="AW392" s="195" t="s">
        <v>525</v>
      </c>
      <c r="AX392" s="195" t="s">
        <v>521</v>
      </c>
      <c r="AZ392"/>
      <c r="BA392"/>
      <c r="BB392"/>
      <c r="BC392"/>
      <c r="BD392"/>
      <c r="BE392"/>
      <c r="BF392" s="152"/>
      <c r="BG392" s="152"/>
    </row>
    <row r="393" spans="1:59" s="90" customFormat="1" ht="14.25" customHeight="1" x14ac:dyDescent="0.2">
      <c r="A393" s="127"/>
      <c r="B393"/>
      <c r="C393" s="134"/>
      <c r="D393"/>
      <c r="E393"/>
      <c r="F393"/>
      <c r="G393"/>
      <c r="H393"/>
      <c r="I393"/>
      <c r="J393"/>
      <c r="K393"/>
      <c r="L393"/>
      <c r="M393"/>
      <c r="N393"/>
      <c r="O393"/>
      <c r="P393"/>
      <c r="Q393"/>
      <c r="R393"/>
      <c r="S393"/>
      <c r="T393"/>
      <c r="U393"/>
      <c r="V393"/>
      <c r="W393"/>
      <c r="X393" s="66"/>
      <c r="Y393" s="4"/>
      <c r="Z393" s="4"/>
      <c r="AA393" s="4"/>
      <c r="AB393" s="4"/>
      <c r="AC393" s="4"/>
      <c r="AD393" s="4"/>
      <c r="AE393" s="4"/>
      <c r="AF393" s="4"/>
      <c r="AG393"/>
      <c r="AH393"/>
      <c r="AI393"/>
      <c r="AJ393"/>
      <c r="AK393"/>
      <c r="AL393"/>
      <c r="AM393"/>
      <c r="AN393"/>
      <c r="AO393" s="148">
        <f t="shared" si="163"/>
        <v>8.9249000000000009</v>
      </c>
      <c r="AP393" s="195">
        <v>280</v>
      </c>
      <c r="AQ393" s="195" t="s">
        <v>528</v>
      </c>
      <c r="AR393" s="195" t="s">
        <v>524</v>
      </c>
      <c r="AS393" s="195" t="s">
        <v>519</v>
      </c>
      <c r="AT393" s="195" t="s">
        <v>527</v>
      </c>
      <c r="AU393" s="195" t="s">
        <v>530</v>
      </c>
      <c r="AV393" s="195" t="s">
        <v>522</v>
      </c>
      <c r="AW393" s="195" t="s">
        <v>521</v>
      </c>
      <c r="AX393" s="195" t="s">
        <v>526</v>
      </c>
      <c r="AZ393"/>
      <c r="BA393"/>
      <c r="BB393"/>
      <c r="BC393"/>
      <c r="BD393"/>
      <c r="BE393"/>
      <c r="BF393" s="152"/>
      <c r="BG393" s="152"/>
    </row>
    <row r="394" spans="1:59" s="90" customFormat="1" ht="14.25" customHeight="1" x14ac:dyDescent="0.2">
      <c r="A394" s="127"/>
      <c r="B394"/>
      <c r="C394" s="134"/>
      <c r="D394"/>
      <c r="E394"/>
      <c r="F394"/>
      <c r="G394"/>
      <c r="H394"/>
      <c r="I394"/>
      <c r="J394"/>
      <c r="K394"/>
      <c r="L394"/>
      <c r="M394"/>
      <c r="N394"/>
      <c r="O394"/>
      <c r="P394"/>
      <c r="Q394"/>
      <c r="R394"/>
      <c r="S394"/>
      <c r="T394"/>
      <c r="U394"/>
      <c r="V394"/>
      <c r="W394"/>
      <c r="X394" s="66"/>
      <c r="Y394" s="4"/>
      <c r="Z394" s="4"/>
      <c r="AA394" s="4"/>
      <c r="AB394" s="4"/>
      <c r="AC394" s="4"/>
      <c r="AD394" s="4"/>
      <c r="AE394" s="4"/>
      <c r="AF394" s="4"/>
      <c r="AG394"/>
      <c r="AH394"/>
      <c r="AI394"/>
      <c r="AJ394"/>
      <c r="AK394"/>
      <c r="AL394"/>
      <c r="AM394"/>
      <c r="AN394"/>
      <c r="AO394" s="148">
        <f t="shared" si="163"/>
        <v>8.9231000000000016</v>
      </c>
      <c r="AP394" s="195">
        <v>281</v>
      </c>
      <c r="AQ394" s="195" t="s">
        <v>528</v>
      </c>
      <c r="AR394" s="195" t="s">
        <v>524</v>
      </c>
      <c r="AS394" s="195" t="s">
        <v>520</v>
      </c>
      <c r="AT394" s="195" t="s">
        <v>527</v>
      </c>
      <c r="AU394" s="195" t="s">
        <v>530</v>
      </c>
      <c r="AV394" s="195" t="s">
        <v>522</v>
      </c>
      <c r="AW394" s="195" t="s">
        <v>519</v>
      </c>
      <c r="AX394" s="195" t="s">
        <v>521</v>
      </c>
      <c r="AZ394"/>
      <c r="BA394"/>
      <c r="BB394"/>
      <c r="BC394"/>
      <c r="BD394"/>
      <c r="BE394"/>
      <c r="BF394" s="152"/>
      <c r="BG394" s="152"/>
    </row>
    <row r="395" spans="1:59" s="90" customFormat="1" ht="14.25" customHeight="1" x14ac:dyDescent="0.2">
      <c r="A395" s="127"/>
      <c r="B395"/>
      <c r="C395" s="134"/>
      <c r="D395"/>
      <c r="E395"/>
      <c r="F395"/>
      <c r="G395"/>
      <c r="H395"/>
      <c r="I395"/>
      <c r="J395"/>
      <c r="K395"/>
      <c r="L395"/>
      <c r="M395"/>
      <c r="N395"/>
      <c r="O395"/>
      <c r="P395"/>
      <c r="Q395"/>
      <c r="R395"/>
      <c r="S395"/>
      <c r="T395"/>
      <c r="U395"/>
      <c r="V395"/>
      <c r="W395"/>
      <c r="X395" s="66"/>
      <c r="Y395" s="4"/>
      <c r="Z395" s="4"/>
      <c r="AA395" s="4"/>
      <c r="AB395" s="4"/>
      <c r="AC395" s="4"/>
      <c r="AD395" s="4"/>
      <c r="AE395" s="4"/>
      <c r="AF395" s="4"/>
      <c r="AG395"/>
      <c r="AH395"/>
      <c r="AI395"/>
      <c r="AJ395"/>
      <c r="AK395"/>
      <c r="AL395"/>
      <c r="AM395"/>
      <c r="AN395"/>
      <c r="AO395" s="148">
        <f t="shared" si="163"/>
        <v>8.9266000000000005</v>
      </c>
      <c r="AP395" s="195">
        <v>282</v>
      </c>
      <c r="AQ395" s="195" t="s">
        <v>523</v>
      </c>
      <c r="AR395" s="195" t="s">
        <v>524</v>
      </c>
      <c r="AS395" s="195" t="s">
        <v>522</v>
      </c>
      <c r="AT395" s="195" t="s">
        <v>528</v>
      </c>
      <c r="AU395" s="195" t="s">
        <v>530</v>
      </c>
      <c r="AV395" s="195" t="s">
        <v>527</v>
      </c>
      <c r="AW395" s="195" t="s">
        <v>525</v>
      </c>
      <c r="AX395" s="195" t="s">
        <v>519</v>
      </c>
      <c r="AZ395"/>
      <c r="BA395"/>
      <c r="BB395"/>
      <c r="BC395"/>
      <c r="BD395"/>
      <c r="BE395"/>
      <c r="BF395" s="152"/>
      <c r="BG395" s="152"/>
    </row>
    <row r="396" spans="1:59" s="90" customFormat="1" ht="14.25" customHeight="1" x14ac:dyDescent="0.2">
      <c r="A396" s="127"/>
      <c r="B396"/>
      <c r="C396" s="134"/>
      <c r="D396"/>
      <c r="E396"/>
      <c r="F396"/>
      <c r="G396"/>
      <c r="H396"/>
      <c r="I396"/>
      <c r="J396"/>
      <c r="K396"/>
      <c r="L396"/>
      <c r="M396"/>
      <c r="N396"/>
      <c r="O396"/>
      <c r="P396"/>
      <c r="Q396"/>
      <c r="R396"/>
      <c r="S396"/>
      <c r="T396"/>
      <c r="U396"/>
      <c r="V396"/>
      <c r="W396"/>
      <c r="X396" s="66"/>
      <c r="Y396" s="4"/>
      <c r="Z396" s="4"/>
      <c r="AA396" s="4"/>
      <c r="AB396" s="4"/>
      <c r="AC396" s="4"/>
      <c r="AD396" s="4"/>
      <c r="AE396" s="4"/>
      <c r="AF396" s="4"/>
      <c r="AG396"/>
      <c r="AH396"/>
      <c r="AI396"/>
      <c r="AJ396"/>
      <c r="AK396"/>
      <c r="AL396"/>
      <c r="AM396"/>
      <c r="AN396"/>
      <c r="AO396" s="148">
        <f t="shared" si="163"/>
        <v>8.9279000000000011</v>
      </c>
      <c r="AP396" s="195">
        <v>283</v>
      </c>
      <c r="AQ396" s="195" t="s">
        <v>523</v>
      </c>
      <c r="AR396" s="195" t="s">
        <v>524</v>
      </c>
      <c r="AS396" s="195" t="s">
        <v>519</v>
      </c>
      <c r="AT396" s="195" t="s">
        <v>528</v>
      </c>
      <c r="AU396" s="195" t="s">
        <v>530</v>
      </c>
      <c r="AV396" s="195" t="s">
        <v>522</v>
      </c>
      <c r="AW396" s="195" t="s">
        <v>527</v>
      </c>
      <c r="AX396" s="195" t="s">
        <v>526</v>
      </c>
      <c r="AZ396"/>
      <c r="BA396"/>
      <c r="BB396"/>
      <c r="BC396"/>
      <c r="BD396"/>
      <c r="BE396"/>
      <c r="BF396" s="152"/>
      <c r="BG396" s="152"/>
    </row>
    <row r="397" spans="1:59" s="90" customFormat="1" ht="14.25" customHeight="1" x14ac:dyDescent="0.2">
      <c r="A397" s="127"/>
      <c r="B397"/>
      <c r="C397" s="134"/>
      <c r="D397"/>
      <c r="E397"/>
      <c r="F397"/>
      <c r="G397"/>
      <c r="H397"/>
      <c r="I397"/>
      <c r="J397"/>
      <c r="K397"/>
      <c r="L397"/>
      <c r="M397"/>
      <c r="N397"/>
      <c r="O397"/>
      <c r="P397"/>
      <c r="Q397"/>
      <c r="R397"/>
      <c r="S397"/>
      <c r="T397"/>
      <c r="U397"/>
      <c r="V397"/>
      <c r="W397"/>
      <c r="X397" s="66"/>
      <c r="Y397" s="4"/>
      <c r="Z397" s="4"/>
      <c r="AA397" s="4"/>
      <c r="AB397" s="4"/>
      <c r="AC397" s="4"/>
      <c r="AD397" s="4"/>
      <c r="AE397" s="4"/>
      <c r="AF397" s="4"/>
      <c r="AG397"/>
      <c r="AH397"/>
      <c r="AI397"/>
      <c r="AJ397"/>
      <c r="AK397"/>
      <c r="AL397"/>
      <c r="AM397"/>
      <c r="AN397"/>
      <c r="AO397" s="148">
        <f t="shared" si="163"/>
        <v>8.9261000000000017</v>
      </c>
      <c r="AP397" s="195">
        <v>284</v>
      </c>
      <c r="AQ397" s="195" t="s">
        <v>523</v>
      </c>
      <c r="AR397" s="195" t="s">
        <v>524</v>
      </c>
      <c r="AS397" s="195" t="s">
        <v>520</v>
      </c>
      <c r="AT397" s="195" t="s">
        <v>528</v>
      </c>
      <c r="AU397" s="195" t="s">
        <v>530</v>
      </c>
      <c r="AV397" s="195" t="s">
        <v>522</v>
      </c>
      <c r="AW397" s="195" t="s">
        <v>527</v>
      </c>
      <c r="AX397" s="195" t="s">
        <v>519</v>
      </c>
      <c r="AZ397"/>
      <c r="BA397"/>
      <c r="BB397"/>
      <c r="BC397"/>
      <c r="BD397"/>
      <c r="BE397"/>
      <c r="BF397" s="152"/>
      <c r="BG397" s="152"/>
    </row>
    <row r="398" spans="1:59" s="90" customFormat="1" ht="14.25" customHeight="1" x14ac:dyDescent="0.2">
      <c r="A398" s="127"/>
      <c r="B398"/>
      <c r="C398" s="134"/>
      <c r="D398"/>
      <c r="E398"/>
      <c r="F398"/>
      <c r="G398"/>
      <c r="H398"/>
      <c r="I398"/>
      <c r="J398"/>
      <c r="K398"/>
      <c r="L398"/>
      <c r="M398"/>
      <c r="N398"/>
      <c r="O398"/>
      <c r="P398"/>
      <c r="Q398"/>
      <c r="R398"/>
      <c r="S398"/>
      <c r="T398"/>
      <c r="U398"/>
      <c r="V398"/>
      <c r="W398"/>
      <c r="X398" s="66"/>
      <c r="Y398" s="4"/>
      <c r="Z398" s="4"/>
      <c r="AA398" s="4"/>
      <c r="AB398" s="4"/>
      <c r="AC398" s="4"/>
      <c r="AD398" s="4"/>
      <c r="AE398" s="4"/>
      <c r="AF398" s="4"/>
      <c r="AG398"/>
      <c r="AH398"/>
      <c r="AI398"/>
      <c r="AJ398"/>
      <c r="AK398"/>
      <c r="AL398"/>
      <c r="AM398"/>
      <c r="AN398"/>
      <c r="AO398" s="148">
        <f t="shared" si="163"/>
        <v>8.926400000000001</v>
      </c>
      <c r="AP398" s="195">
        <v>285</v>
      </c>
      <c r="AQ398" s="195" t="s">
        <v>523</v>
      </c>
      <c r="AR398" s="195" t="s">
        <v>524</v>
      </c>
      <c r="AS398" s="195" t="s">
        <v>519</v>
      </c>
      <c r="AT398" s="195" t="s">
        <v>528</v>
      </c>
      <c r="AU398" s="195" t="s">
        <v>530</v>
      </c>
      <c r="AV398" s="195" t="s">
        <v>522</v>
      </c>
      <c r="AW398" s="195" t="s">
        <v>527</v>
      </c>
      <c r="AX398" s="195" t="s">
        <v>521</v>
      </c>
      <c r="AZ398"/>
      <c r="BA398"/>
      <c r="BB398"/>
      <c r="BC398"/>
      <c r="BD398"/>
      <c r="BE398"/>
      <c r="BF398" s="152"/>
      <c r="BG398" s="152"/>
    </row>
    <row r="399" spans="1:59" s="90" customFormat="1" ht="14.25" customHeight="1" x14ac:dyDescent="0.2">
      <c r="A399" s="127"/>
      <c r="B399"/>
      <c r="C399" s="134"/>
      <c r="D399"/>
      <c r="E399"/>
      <c r="F399"/>
      <c r="G399"/>
      <c r="H399"/>
      <c r="I399"/>
      <c r="J399"/>
      <c r="K399"/>
      <c r="L399"/>
      <c r="M399"/>
      <c r="N399"/>
      <c r="O399"/>
      <c r="P399"/>
      <c r="Q399"/>
      <c r="R399"/>
      <c r="S399"/>
      <c r="T399"/>
      <c r="U399"/>
      <c r="V399"/>
      <c r="W399"/>
      <c r="X399" s="66"/>
      <c r="Y399" s="4"/>
      <c r="Z399" s="4"/>
      <c r="AA399" s="4"/>
      <c r="AB399" s="4"/>
      <c r="AC399" s="4"/>
      <c r="AD399" s="4"/>
      <c r="AE399" s="4"/>
      <c r="AF399" s="4"/>
      <c r="AG399"/>
      <c r="AH399"/>
      <c r="AI399"/>
      <c r="AJ399"/>
      <c r="AK399"/>
      <c r="AL399"/>
      <c r="AM399"/>
      <c r="AN399"/>
      <c r="AO399" s="148">
        <f t="shared" si="163"/>
        <v>8.9283999999999999</v>
      </c>
      <c r="AP399" s="195">
        <v>286</v>
      </c>
      <c r="AQ399" s="195" t="s">
        <v>523</v>
      </c>
      <c r="AR399" s="195" t="s">
        <v>520</v>
      </c>
      <c r="AS399" s="195" t="s">
        <v>529</v>
      </c>
      <c r="AT399" s="195" t="s">
        <v>530</v>
      </c>
      <c r="AU399" s="195" t="s">
        <v>521</v>
      </c>
      <c r="AV399" s="195" t="s">
        <v>524</v>
      </c>
      <c r="AW399" s="195" t="s">
        <v>525</v>
      </c>
      <c r="AX399" s="195" t="s">
        <v>526</v>
      </c>
      <c r="AZ399"/>
      <c r="BA399"/>
      <c r="BB399"/>
      <c r="BC399"/>
      <c r="BD399"/>
      <c r="BE399"/>
      <c r="BF399" s="152"/>
      <c r="BG399" s="152"/>
    </row>
    <row r="400" spans="1:59" s="90" customFormat="1" ht="14.25" customHeight="1" x14ac:dyDescent="0.2">
      <c r="A400" s="127"/>
      <c r="B400"/>
      <c r="C400" s="134"/>
      <c r="D400"/>
      <c r="E400"/>
      <c r="F400"/>
      <c r="G400"/>
      <c r="H400"/>
      <c r="I400"/>
      <c r="J400"/>
      <c r="K400"/>
      <c r="L400"/>
      <c r="M400"/>
      <c r="N400"/>
      <c r="O400"/>
      <c r="P400"/>
      <c r="Q400"/>
      <c r="R400"/>
      <c r="S400"/>
      <c r="T400"/>
      <c r="U400"/>
      <c r="V400"/>
      <c r="W400"/>
      <c r="X400" s="66"/>
      <c r="Y400" s="4"/>
      <c r="Z400" s="4"/>
      <c r="AA400" s="4"/>
      <c r="AB400" s="4"/>
      <c r="AC400" s="4"/>
      <c r="AD400" s="4"/>
      <c r="AE400" s="4"/>
      <c r="AF400" s="4"/>
      <c r="AG400"/>
      <c r="AH400"/>
      <c r="AI400"/>
      <c r="AJ400"/>
      <c r="AK400"/>
      <c r="AL400"/>
      <c r="AM400"/>
      <c r="AN400"/>
      <c r="AO400" s="148">
        <f t="shared" si="163"/>
        <v>8.9293000000000013</v>
      </c>
      <c r="AP400" s="195">
        <v>287</v>
      </c>
      <c r="AQ400" s="195" t="s">
        <v>523</v>
      </c>
      <c r="AR400" s="195" t="s">
        <v>520</v>
      </c>
      <c r="AS400" s="195" t="s">
        <v>529</v>
      </c>
      <c r="AT400" s="195" t="s">
        <v>530</v>
      </c>
      <c r="AU400" s="195" t="s">
        <v>521</v>
      </c>
      <c r="AV400" s="195" t="s">
        <v>522</v>
      </c>
      <c r="AW400" s="195" t="s">
        <v>525</v>
      </c>
      <c r="AX400" s="195" t="s">
        <v>526</v>
      </c>
      <c r="AZ400"/>
      <c r="BA400"/>
      <c r="BB400"/>
      <c r="BC400"/>
      <c r="BD400"/>
      <c r="BE400"/>
      <c r="BF400" s="152"/>
      <c r="BG400" s="152"/>
    </row>
    <row r="401" spans="1:59" s="90" customFormat="1" ht="14.25" customHeight="1" x14ac:dyDescent="0.2">
      <c r="A401" s="127"/>
      <c r="B401"/>
      <c r="C401" s="134"/>
      <c r="D401"/>
      <c r="E401"/>
      <c r="F401"/>
      <c r="G401"/>
      <c r="H401"/>
      <c r="I401"/>
      <c r="J401"/>
      <c r="K401"/>
      <c r="L401"/>
      <c r="M401"/>
      <c r="N401"/>
      <c r="O401"/>
      <c r="P401"/>
      <c r="Q401"/>
      <c r="R401"/>
      <c r="S401"/>
      <c r="T401"/>
      <c r="U401"/>
      <c r="V401"/>
      <c r="W401"/>
      <c r="X401" s="66"/>
      <c r="Y401" s="4"/>
      <c r="Z401" s="4"/>
      <c r="AA401" s="4"/>
      <c r="AB401" s="4"/>
      <c r="AC401" s="4"/>
      <c r="AD401" s="4"/>
      <c r="AE401" s="4"/>
      <c r="AF401" s="4"/>
      <c r="AG401"/>
      <c r="AH401"/>
      <c r="AI401"/>
      <c r="AJ401"/>
      <c r="AK401"/>
      <c r="AL401"/>
      <c r="AM401"/>
      <c r="AN401"/>
      <c r="AO401" s="148">
        <f t="shared" si="163"/>
        <v>8.9261000000000017</v>
      </c>
      <c r="AP401" s="195">
        <v>288</v>
      </c>
      <c r="AQ401" s="195" t="s">
        <v>521</v>
      </c>
      <c r="AR401" s="195" t="s">
        <v>520</v>
      </c>
      <c r="AS401" s="195" t="s">
        <v>529</v>
      </c>
      <c r="AT401" s="195" t="s">
        <v>522</v>
      </c>
      <c r="AU401" s="195" t="s">
        <v>530</v>
      </c>
      <c r="AV401" s="195" t="s">
        <v>524</v>
      </c>
      <c r="AW401" s="195" t="s">
        <v>525</v>
      </c>
      <c r="AX401" s="195" t="s">
        <v>526</v>
      </c>
      <c r="AZ401"/>
      <c r="BA401"/>
      <c r="BB401"/>
      <c r="BC401"/>
      <c r="BD401"/>
      <c r="BE401"/>
      <c r="BF401" s="152"/>
      <c r="BG401" s="152"/>
    </row>
    <row r="402" spans="1:59" s="90" customFormat="1" ht="14.25" customHeight="1" x14ac:dyDescent="0.2">
      <c r="A402" s="127"/>
      <c r="B402"/>
      <c r="C402" s="134"/>
      <c r="D402"/>
      <c r="E402"/>
      <c r="F402"/>
      <c r="G402"/>
      <c r="H402"/>
      <c r="I402"/>
      <c r="J402"/>
      <c r="K402"/>
      <c r="L402"/>
      <c r="M402"/>
      <c r="N402"/>
      <c r="O402"/>
      <c r="P402"/>
      <c r="Q402"/>
      <c r="R402"/>
      <c r="S402"/>
      <c r="T402"/>
      <c r="U402"/>
      <c r="V402"/>
      <c r="W402"/>
      <c r="X402" s="66"/>
      <c r="Y402" s="4"/>
      <c r="Z402" s="4"/>
      <c r="AA402" s="4"/>
      <c r="AB402" s="4"/>
      <c r="AC402" s="4"/>
      <c r="AD402" s="4"/>
      <c r="AE402" s="4"/>
      <c r="AF402" s="4"/>
      <c r="AG402"/>
      <c r="AH402"/>
      <c r="AI402"/>
      <c r="AJ402"/>
      <c r="AK402"/>
      <c r="AL402"/>
      <c r="AM402"/>
      <c r="AN402"/>
      <c r="AO402" s="148">
        <f t="shared" si="163"/>
        <v>8.9291000000000018</v>
      </c>
      <c r="AP402" s="195">
        <v>289</v>
      </c>
      <c r="AQ402" s="195" t="s">
        <v>523</v>
      </c>
      <c r="AR402" s="195" t="s">
        <v>520</v>
      </c>
      <c r="AS402" s="195" t="s">
        <v>529</v>
      </c>
      <c r="AT402" s="195" t="s">
        <v>522</v>
      </c>
      <c r="AU402" s="195" t="s">
        <v>530</v>
      </c>
      <c r="AV402" s="195" t="s">
        <v>524</v>
      </c>
      <c r="AW402" s="195" t="s">
        <v>525</v>
      </c>
      <c r="AX402" s="195" t="s">
        <v>526</v>
      </c>
      <c r="AZ402"/>
      <c r="BA402"/>
      <c r="BB402"/>
      <c r="BC402"/>
      <c r="BD402"/>
      <c r="BE402"/>
      <c r="BF402" s="152"/>
      <c r="BG402" s="152"/>
    </row>
    <row r="403" spans="1:59" s="90" customFormat="1" ht="14.25" customHeight="1" x14ac:dyDescent="0.2">
      <c r="A403" s="127"/>
      <c r="B403"/>
      <c r="C403" s="134"/>
      <c r="D403"/>
      <c r="E403"/>
      <c r="F403"/>
      <c r="G403"/>
      <c r="H403"/>
      <c r="I403"/>
      <c r="J403"/>
      <c r="K403"/>
      <c r="L403"/>
      <c r="M403"/>
      <c r="N403"/>
      <c r="O403"/>
      <c r="P403"/>
      <c r="Q403"/>
      <c r="R403"/>
      <c r="S403"/>
      <c r="T403"/>
      <c r="U403"/>
      <c r="V403"/>
      <c r="W403"/>
      <c r="X403" s="66"/>
      <c r="Y403" s="4"/>
      <c r="Z403" s="4"/>
      <c r="AA403" s="4"/>
      <c r="AB403" s="4"/>
      <c r="AC403" s="4"/>
      <c r="AD403" s="4"/>
      <c r="AE403" s="4"/>
      <c r="AF403" s="4"/>
      <c r="AG403"/>
      <c r="AH403"/>
      <c r="AI403"/>
      <c r="AJ403"/>
      <c r="AK403"/>
      <c r="AL403"/>
      <c r="AM403"/>
      <c r="AN403"/>
      <c r="AO403" s="148">
        <f t="shared" si="163"/>
        <v>8.9294000000000011</v>
      </c>
      <c r="AP403" s="195">
        <v>290</v>
      </c>
      <c r="AQ403" s="195" t="s">
        <v>523</v>
      </c>
      <c r="AR403" s="195" t="s">
        <v>524</v>
      </c>
      <c r="AS403" s="195" t="s">
        <v>529</v>
      </c>
      <c r="AT403" s="195" t="s">
        <v>530</v>
      </c>
      <c r="AU403" s="195" t="s">
        <v>521</v>
      </c>
      <c r="AV403" s="195" t="s">
        <v>522</v>
      </c>
      <c r="AW403" s="195" t="s">
        <v>525</v>
      </c>
      <c r="AX403" s="195" t="s">
        <v>526</v>
      </c>
      <c r="AZ403"/>
      <c r="BA403"/>
      <c r="BB403"/>
      <c r="BC403"/>
      <c r="BD403"/>
      <c r="BE403"/>
      <c r="BF403" s="152"/>
      <c r="BG403" s="152"/>
    </row>
    <row r="404" spans="1:59" s="90" customFormat="1" ht="14.25" customHeight="1" x14ac:dyDescent="0.2">
      <c r="A404" s="127"/>
      <c r="B404"/>
      <c r="C404" s="134"/>
      <c r="D404"/>
      <c r="E404"/>
      <c r="F404"/>
      <c r="G404"/>
      <c r="H404"/>
      <c r="I404"/>
      <c r="J404"/>
      <c r="K404"/>
      <c r="L404"/>
      <c r="M404"/>
      <c r="N404"/>
      <c r="O404"/>
      <c r="P404"/>
      <c r="Q404"/>
      <c r="R404"/>
      <c r="S404"/>
      <c r="T404"/>
      <c r="U404"/>
      <c r="V404"/>
      <c r="W404"/>
      <c r="X404" s="66"/>
      <c r="Y404" s="4"/>
      <c r="Z404" s="4"/>
      <c r="AA404" s="4"/>
      <c r="AB404" s="4"/>
      <c r="AC404" s="4"/>
      <c r="AD404" s="4"/>
      <c r="AE404" s="4"/>
      <c r="AF404" s="4"/>
      <c r="AG404"/>
      <c r="AH404"/>
      <c r="AI404"/>
      <c r="AJ404"/>
      <c r="AK404"/>
      <c r="AL404"/>
      <c r="AM404"/>
      <c r="AN404"/>
      <c r="AO404" s="148">
        <f t="shared" si="163"/>
        <v>8.9276000000000018</v>
      </c>
      <c r="AP404" s="195">
        <v>291</v>
      </c>
      <c r="AQ404" s="195" t="s">
        <v>523</v>
      </c>
      <c r="AR404" s="195" t="s">
        <v>520</v>
      </c>
      <c r="AS404" s="195" t="s">
        <v>529</v>
      </c>
      <c r="AT404" s="195" t="s">
        <v>522</v>
      </c>
      <c r="AU404" s="195" t="s">
        <v>530</v>
      </c>
      <c r="AV404" s="195" t="s">
        <v>524</v>
      </c>
      <c r="AW404" s="195" t="s">
        <v>525</v>
      </c>
      <c r="AX404" s="195" t="s">
        <v>521</v>
      </c>
      <c r="AZ404"/>
      <c r="BA404"/>
      <c r="BB404"/>
      <c r="BC404"/>
      <c r="BD404"/>
      <c r="BE404"/>
      <c r="BF404" s="152"/>
      <c r="BG404" s="152"/>
    </row>
    <row r="405" spans="1:59" s="90" customFormat="1" ht="14.25" customHeight="1" x14ac:dyDescent="0.2">
      <c r="A405" s="127"/>
      <c r="B405"/>
      <c r="C405" s="134"/>
      <c r="D405"/>
      <c r="E405"/>
      <c r="F405"/>
      <c r="G405"/>
      <c r="H405"/>
      <c r="I405"/>
      <c r="J405"/>
      <c r="K405"/>
      <c r="L405"/>
      <c r="M405"/>
      <c r="N405"/>
      <c r="O405"/>
      <c r="P405"/>
      <c r="Q405"/>
      <c r="R405"/>
      <c r="S405"/>
      <c r="T405"/>
      <c r="U405"/>
      <c r="V405"/>
      <c r="W405"/>
      <c r="X405" s="66"/>
      <c r="Y405" s="4"/>
      <c r="Z405" s="4"/>
      <c r="AA405" s="4"/>
      <c r="AB405" s="4"/>
      <c r="AC405" s="4"/>
      <c r="AD405" s="4"/>
      <c r="AE405" s="4"/>
      <c r="AF405" s="4"/>
      <c r="AG405"/>
      <c r="AH405"/>
      <c r="AI405"/>
      <c r="AJ405"/>
      <c r="AK405"/>
      <c r="AL405"/>
      <c r="AM405"/>
      <c r="AN405"/>
      <c r="AO405" s="148">
        <f t="shared" si="163"/>
        <v>8.9289000000000005</v>
      </c>
      <c r="AP405" s="195">
        <v>292</v>
      </c>
      <c r="AQ405" s="195" t="s">
        <v>523</v>
      </c>
      <c r="AR405" s="195" t="s">
        <v>520</v>
      </c>
      <c r="AS405" s="195" t="s">
        <v>529</v>
      </c>
      <c r="AT405" s="195" t="s">
        <v>522</v>
      </c>
      <c r="AU405" s="195" t="s">
        <v>530</v>
      </c>
      <c r="AV405" s="195" t="s">
        <v>524</v>
      </c>
      <c r="AW405" s="195" t="s">
        <v>521</v>
      </c>
      <c r="AX405" s="195" t="s">
        <v>526</v>
      </c>
      <c r="AZ405"/>
      <c r="BA405"/>
      <c r="BB405"/>
      <c r="BC405"/>
      <c r="BD405"/>
      <c r="BE405"/>
      <c r="BF405" s="152"/>
      <c r="BG405" s="152"/>
    </row>
    <row r="406" spans="1:59" s="90" customFormat="1" ht="14.25" customHeight="1" x14ac:dyDescent="0.2">
      <c r="A406" s="127"/>
      <c r="B406"/>
      <c r="C406" s="134"/>
      <c r="D406"/>
      <c r="E406"/>
      <c r="F406"/>
      <c r="G406"/>
      <c r="H406"/>
      <c r="I406"/>
      <c r="J406"/>
      <c r="K406"/>
      <c r="L406"/>
      <c r="M406"/>
      <c r="N406"/>
      <c r="O406"/>
      <c r="P406"/>
      <c r="Q406"/>
      <c r="R406"/>
      <c r="S406"/>
      <c r="T406"/>
      <c r="U406"/>
      <c r="V406"/>
      <c r="W406"/>
      <c r="X406" s="66"/>
      <c r="Y406" s="4"/>
      <c r="Z406" s="4"/>
      <c r="AA406" s="4"/>
      <c r="AB406" s="4"/>
      <c r="AC406" s="4"/>
      <c r="AD406" s="4"/>
      <c r="AE406" s="4"/>
      <c r="AF406" s="4"/>
      <c r="AG406"/>
      <c r="AH406"/>
      <c r="AI406"/>
      <c r="AJ406"/>
      <c r="AK406"/>
      <c r="AL406"/>
      <c r="AM406"/>
      <c r="AN406"/>
      <c r="AO406" s="148">
        <f t="shared" si="163"/>
        <v>8.9289000000000005</v>
      </c>
      <c r="AP406" s="195">
        <v>293</v>
      </c>
      <c r="AQ406" s="195" t="s">
        <v>519</v>
      </c>
      <c r="AR406" s="195" t="s">
        <v>520</v>
      </c>
      <c r="AS406" s="195" t="s">
        <v>529</v>
      </c>
      <c r="AT406" s="195" t="s">
        <v>530</v>
      </c>
      <c r="AU406" s="195" t="s">
        <v>521</v>
      </c>
      <c r="AV406" s="195" t="s">
        <v>523</v>
      </c>
      <c r="AW406" s="195" t="s">
        <v>525</v>
      </c>
      <c r="AX406" s="195" t="s">
        <v>526</v>
      </c>
      <c r="AZ406"/>
      <c r="BA406"/>
      <c r="BB406"/>
      <c r="BC406"/>
      <c r="BD406"/>
      <c r="BE406"/>
      <c r="BF406" s="152"/>
      <c r="BG406" s="152"/>
    </row>
    <row r="407" spans="1:59" s="90" customFormat="1" ht="14.25" customHeight="1" x14ac:dyDescent="0.2">
      <c r="A407" s="127"/>
      <c r="B407"/>
      <c r="C407" s="134"/>
      <c r="D407"/>
      <c r="E407"/>
      <c r="F407"/>
      <c r="G407"/>
      <c r="H407"/>
      <c r="I407"/>
      <c r="J407"/>
      <c r="K407"/>
      <c r="L407"/>
      <c r="M407"/>
      <c r="N407"/>
      <c r="O407"/>
      <c r="P407"/>
      <c r="Q407"/>
      <c r="R407"/>
      <c r="S407"/>
      <c r="T407"/>
      <c r="U407"/>
      <c r="V407"/>
      <c r="W407"/>
      <c r="X407" s="66"/>
      <c r="Y407" s="4"/>
      <c r="Z407" s="4"/>
      <c r="AA407" s="4"/>
      <c r="AB407" s="4"/>
      <c r="AC407" s="4"/>
      <c r="AD407" s="4"/>
      <c r="AE407" s="4"/>
      <c r="AF407" s="4"/>
      <c r="AG407"/>
      <c r="AH407"/>
      <c r="AI407"/>
      <c r="AJ407"/>
      <c r="AK407"/>
      <c r="AL407"/>
      <c r="AM407"/>
      <c r="AN407"/>
      <c r="AO407" s="148">
        <f t="shared" si="163"/>
        <v>8.9256999999999991</v>
      </c>
      <c r="AP407" s="195">
        <v>294</v>
      </c>
      <c r="AQ407" s="195" t="s">
        <v>519</v>
      </c>
      <c r="AR407" s="195" t="s">
        <v>520</v>
      </c>
      <c r="AS407" s="195" t="s">
        <v>529</v>
      </c>
      <c r="AT407" s="195" t="s">
        <v>530</v>
      </c>
      <c r="AU407" s="195" t="s">
        <v>521</v>
      </c>
      <c r="AV407" s="195" t="s">
        <v>524</v>
      </c>
      <c r="AW407" s="195" t="s">
        <v>525</v>
      </c>
      <c r="AX407" s="195" t="s">
        <v>526</v>
      </c>
      <c r="AZ407"/>
      <c r="BA407"/>
      <c r="BB407"/>
      <c r="BC407"/>
      <c r="BD407"/>
      <c r="BE407"/>
      <c r="BF407" s="152"/>
      <c r="BG407" s="152"/>
    </row>
    <row r="408" spans="1:59" s="90" customFormat="1" ht="14.25" customHeight="1" x14ac:dyDescent="0.2">
      <c r="A408" s="127"/>
      <c r="B408"/>
      <c r="C408" s="134"/>
      <c r="D408"/>
      <c r="E408"/>
      <c r="F408"/>
      <c r="G408"/>
      <c r="H408"/>
      <c r="I408"/>
      <c r="J408"/>
      <c r="K408"/>
      <c r="L408"/>
      <c r="M408"/>
      <c r="N408"/>
      <c r="O408"/>
      <c r="P408"/>
      <c r="Q408"/>
      <c r="R408"/>
      <c r="S408"/>
      <c r="T408"/>
      <c r="U408"/>
      <c r="V408"/>
      <c r="W408"/>
      <c r="X408" s="66"/>
      <c r="Y408" s="4"/>
      <c r="Z408" s="4"/>
      <c r="AA408" s="4"/>
      <c r="AB408" s="4"/>
      <c r="AC408" s="4"/>
      <c r="AD408" s="4"/>
      <c r="AE408" s="4"/>
      <c r="AF408" s="4"/>
      <c r="AG408"/>
      <c r="AH408"/>
      <c r="AI408"/>
      <c r="AJ408"/>
      <c r="AK408"/>
      <c r="AL408"/>
      <c r="AM408"/>
      <c r="AN408"/>
      <c r="AO408" s="148">
        <f t="shared" si="163"/>
        <v>8.9286999999999992</v>
      </c>
      <c r="AP408" s="195">
        <v>295</v>
      </c>
      <c r="AQ408" s="195" t="s">
        <v>519</v>
      </c>
      <c r="AR408" s="195" t="s">
        <v>520</v>
      </c>
      <c r="AS408" s="195" t="s">
        <v>529</v>
      </c>
      <c r="AT408" s="195" t="s">
        <v>530</v>
      </c>
      <c r="AU408" s="195" t="s">
        <v>523</v>
      </c>
      <c r="AV408" s="195" t="s">
        <v>524</v>
      </c>
      <c r="AW408" s="195" t="s">
        <v>525</v>
      </c>
      <c r="AX408" s="195" t="s">
        <v>526</v>
      </c>
      <c r="AZ408"/>
      <c r="BA408"/>
      <c r="BB408"/>
      <c r="BC408"/>
      <c r="BD408"/>
      <c r="BE408"/>
      <c r="BF408" s="152"/>
      <c r="BG408" s="152"/>
    </row>
    <row r="409" spans="1:59" s="90" customFormat="1" ht="14.25" customHeight="1" x14ac:dyDescent="0.2">
      <c r="A409" s="127"/>
      <c r="B409"/>
      <c r="C409" s="134"/>
      <c r="D409"/>
      <c r="E409"/>
      <c r="F409"/>
      <c r="G409"/>
      <c r="H409"/>
      <c r="I409"/>
      <c r="J409"/>
      <c r="K409"/>
      <c r="L409"/>
      <c r="M409"/>
      <c r="N409"/>
      <c r="O409"/>
      <c r="P409"/>
      <c r="Q409"/>
      <c r="R409"/>
      <c r="S409"/>
      <c r="T409"/>
      <c r="U409"/>
      <c r="V409"/>
      <c r="W409"/>
      <c r="X409" s="66"/>
      <c r="Y409" s="4"/>
      <c r="Z409" s="4"/>
      <c r="AA409" s="4"/>
      <c r="AB409" s="4"/>
      <c r="AC409" s="4"/>
      <c r="AD409" s="4"/>
      <c r="AE409" s="4"/>
      <c r="AF409" s="4"/>
      <c r="AG409"/>
      <c r="AH409"/>
      <c r="AI409"/>
      <c r="AJ409"/>
      <c r="AK409"/>
      <c r="AL409"/>
      <c r="AM409"/>
      <c r="AN409"/>
      <c r="AO409" s="148">
        <f t="shared" si="163"/>
        <v>8.929000000000002</v>
      </c>
      <c r="AP409" s="195">
        <v>296</v>
      </c>
      <c r="AQ409" s="195" t="s">
        <v>519</v>
      </c>
      <c r="AR409" s="195" t="s">
        <v>524</v>
      </c>
      <c r="AS409" s="195" t="s">
        <v>529</v>
      </c>
      <c r="AT409" s="195" t="s">
        <v>530</v>
      </c>
      <c r="AU409" s="195" t="s">
        <v>521</v>
      </c>
      <c r="AV409" s="195" t="s">
        <v>523</v>
      </c>
      <c r="AW409" s="195" t="s">
        <v>525</v>
      </c>
      <c r="AX409" s="195" t="s">
        <v>526</v>
      </c>
      <c r="AZ409"/>
      <c r="BA409"/>
      <c r="BB409"/>
      <c r="BC409"/>
      <c r="BD409"/>
      <c r="BE409"/>
      <c r="BF409" s="152"/>
      <c r="BG409" s="152"/>
    </row>
    <row r="410" spans="1:59" s="90" customFormat="1" ht="14.25" customHeight="1" x14ac:dyDescent="0.2">
      <c r="A410" s="127"/>
      <c r="B410"/>
      <c r="C410" s="134"/>
      <c r="D410"/>
      <c r="E410"/>
      <c r="F410"/>
      <c r="G410"/>
      <c r="H410"/>
      <c r="I410"/>
      <c r="J410"/>
      <c r="K410"/>
      <c r="L410"/>
      <c r="M410"/>
      <c r="N410"/>
      <c r="O410"/>
      <c r="P410"/>
      <c r="Q410"/>
      <c r="R410"/>
      <c r="S410"/>
      <c r="T410"/>
      <c r="U410"/>
      <c r="V410"/>
      <c r="W410"/>
      <c r="X410" s="66"/>
      <c r="Y410" s="4"/>
      <c r="Z410" s="4"/>
      <c r="AA410" s="4"/>
      <c r="AB410" s="4"/>
      <c r="AC410" s="4"/>
      <c r="AD410" s="4"/>
      <c r="AE410" s="4"/>
      <c r="AF410" s="4"/>
      <c r="AG410"/>
      <c r="AH410"/>
      <c r="AI410"/>
      <c r="AJ410"/>
      <c r="AK410"/>
      <c r="AL410"/>
      <c r="AM410"/>
      <c r="AN410"/>
      <c r="AO410" s="148">
        <f t="shared" si="163"/>
        <v>8.9272000000000009</v>
      </c>
      <c r="AP410" s="195">
        <v>297</v>
      </c>
      <c r="AQ410" s="195" t="s">
        <v>519</v>
      </c>
      <c r="AR410" s="195" t="s">
        <v>520</v>
      </c>
      <c r="AS410" s="195" t="s">
        <v>529</v>
      </c>
      <c r="AT410" s="195" t="s">
        <v>530</v>
      </c>
      <c r="AU410" s="195" t="s">
        <v>523</v>
      </c>
      <c r="AV410" s="195" t="s">
        <v>524</v>
      </c>
      <c r="AW410" s="195" t="s">
        <v>525</v>
      </c>
      <c r="AX410" s="195" t="s">
        <v>521</v>
      </c>
      <c r="AZ410"/>
      <c r="BA410"/>
      <c r="BB410"/>
      <c r="BC410"/>
      <c r="BD410"/>
      <c r="BE410"/>
      <c r="BF410" s="152"/>
      <c r="BG410" s="152"/>
    </row>
    <row r="411" spans="1:59" s="90" customFormat="1" ht="14.25" customHeight="1" x14ac:dyDescent="0.2">
      <c r="A411" s="127"/>
      <c r="B411"/>
      <c r="C411" s="134"/>
      <c r="D411"/>
      <c r="E411"/>
      <c r="F411"/>
      <c r="G411"/>
      <c r="H411"/>
      <c r="I411"/>
      <c r="J411"/>
      <c r="K411"/>
      <c r="L411"/>
      <c r="M411"/>
      <c r="N411"/>
      <c r="O411"/>
      <c r="P411"/>
      <c r="Q411"/>
      <c r="R411"/>
      <c r="S411"/>
      <c r="T411"/>
      <c r="U411"/>
      <c r="V411"/>
      <c r="W411"/>
      <c r="X411" s="66"/>
      <c r="Y411" s="4"/>
      <c r="Z411" s="4"/>
      <c r="AA411" s="4"/>
      <c r="AB411" s="4"/>
      <c r="AC411" s="4"/>
      <c r="AD411" s="4"/>
      <c r="AE411" s="4"/>
      <c r="AF411" s="4"/>
      <c r="AG411"/>
      <c r="AH411"/>
      <c r="AI411"/>
      <c r="AJ411"/>
      <c r="AK411"/>
      <c r="AL411"/>
      <c r="AM411"/>
      <c r="AN411"/>
      <c r="AO411" s="148">
        <f t="shared" si="163"/>
        <v>8.9284999999999997</v>
      </c>
      <c r="AP411" s="195">
        <v>298</v>
      </c>
      <c r="AQ411" s="195" t="s">
        <v>519</v>
      </c>
      <c r="AR411" s="195" t="s">
        <v>520</v>
      </c>
      <c r="AS411" s="195" t="s">
        <v>529</v>
      </c>
      <c r="AT411" s="195" t="s">
        <v>530</v>
      </c>
      <c r="AU411" s="195" t="s">
        <v>523</v>
      </c>
      <c r="AV411" s="195" t="s">
        <v>524</v>
      </c>
      <c r="AW411" s="195" t="s">
        <v>521</v>
      </c>
      <c r="AX411" s="195" t="s">
        <v>526</v>
      </c>
      <c r="AZ411"/>
      <c r="BA411"/>
      <c r="BB411"/>
      <c r="BC411"/>
      <c r="BD411"/>
      <c r="BE411"/>
      <c r="BF411" s="152"/>
      <c r="BG411" s="152"/>
    </row>
    <row r="412" spans="1:59" s="90" customFormat="1" ht="14.25" customHeight="1" x14ac:dyDescent="0.2">
      <c r="A412" s="127"/>
      <c r="B412"/>
      <c r="C412" s="134"/>
      <c r="D412"/>
      <c r="E412"/>
      <c r="F412"/>
      <c r="G412"/>
      <c r="H412"/>
      <c r="I412"/>
      <c r="J412"/>
      <c r="K412"/>
      <c r="L412"/>
      <c r="M412"/>
      <c r="N412"/>
      <c r="O412"/>
      <c r="P412"/>
      <c r="Q412"/>
      <c r="R412"/>
      <c r="S412"/>
      <c r="T412"/>
      <c r="U412"/>
      <c r="V412"/>
      <c r="W412"/>
      <c r="X412" s="66"/>
      <c r="Y412" s="4"/>
      <c r="Z412" s="4"/>
      <c r="AA412" s="4"/>
      <c r="AB412" s="4"/>
      <c r="AC412" s="4"/>
      <c r="AD412" s="4"/>
      <c r="AE412" s="4"/>
      <c r="AF412" s="4"/>
      <c r="AG412"/>
      <c r="AH412"/>
      <c r="AI412"/>
      <c r="AJ412"/>
      <c r="AK412"/>
      <c r="AL412"/>
      <c r="AM412"/>
      <c r="AN412"/>
      <c r="AO412" s="148">
        <f t="shared" si="163"/>
        <v>8.9266000000000005</v>
      </c>
      <c r="AP412" s="195">
        <v>299</v>
      </c>
      <c r="AQ412" s="195" t="s">
        <v>519</v>
      </c>
      <c r="AR412" s="195" t="s">
        <v>520</v>
      </c>
      <c r="AS412" s="195" t="s">
        <v>529</v>
      </c>
      <c r="AT412" s="195" t="s">
        <v>530</v>
      </c>
      <c r="AU412" s="195" t="s">
        <v>521</v>
      </c>
      <c r="AV412" s="195" t="s">
        <v>522</v>
      </c>
      <c r="AW412" s="195" t="s">
        <v>525</v>
      </c>
      <c r="AX412" s="195" t="s">
        <v>526</v>
      </c>
      <c r="AZ412"/>
      <c r="BA412"/>
      <c r="BB412"/>
      <c r="BC412"/>
      <c r="BD412"/>
      <c r="BE412"/>
      <c r="BF412" s="152"/>
      <c r="BG412" s="152"/>
    </row>
    <row r="413" spans="1:59" s="90" customFormat="1" ht="14.25" customHeight="1" x14ac:dyDescent="0.2">
      <c r="A413" s="127"/>
      <c r="B413"/>
      <c r="C413" s="134"/>
      <c r="D413"/>
      <c r="E413"/>
      <c r="F413"/>
      <c r="G413"/>
      <c r="H413"/>
      <c r="I413"/>
      <c r="J413"/>
      <c r="K413"/>
      <c r="L413"/>
      <c r="M413"/>
      <c r="N413"/>
      <c r="O413"/>
      <c r="P413"/>
      <c r="Q413"/>
      <c r="R413"/>
      <c r="S413"/>
      <c r="T413"/>
      <c r="U413"/>
      <c r="V413"/>
      <c r="W413"/>
      <c r="X413" s="66"/>
      <c r="Y413" s="4"/>
      <c r="Z413" s="4"/>
      <c r="AA413" s="4"/>
      <c r="AB413" s="4"/>
      <c r="AC413" s="4"/>
      <c r="AD413" s="4"/>
      <c r="AE413" s="4"/>
      <c r="AF413" s="4"/>
      <c r="AG413"/>
      <c r="AH413"/>
      <c r="AI413"/>
      <c r="AJ413"/>
      <c r="AK413"/>
      <c r="AL413"/>
      <c r="AM413"/>
      <c r="AN413"/>
      <c r="AO413" s="148">
        <f t="shared" si="163"/>
        <v>8.9296000000000006</v>
      </c>
      <c r="AP413" s="195">
        <v>300</v>
      </c>
      <c r="AQ413" s="195" t="s">
        <v>519</v>
      </c>
      <c r="AR413" s="195" t="s">
        <v>520</v>
      </c>
      <c r="AS413" s="195" t="s">
        <v>529</v>
      </c>
      <c r="AT413" s="195" t="s">
        <v>522</v>
      </c>
      <c r="AU413" s="195" t="s">
        <v>530</v>
      </c>
      <c r="AV413" s="195" t="s">
        <v>523</v>
      </c>
      <c r="AW413" s="195" t="s">
        <v>525</v>
      </c>
      <c r="AX413" s="195" t="s">
        <v>526</v>
      </c>
      <c r="AZ413"/>
      <c r="BA413"/>
      <c r="BB413"/>
      <c r="BC413"/>
      <c r="BD413"/>
      <c r="BE413"/>
      <c r="BF413" s="152"/>
      <c r="BG413" s="152"/>
    </row>
    <row r="414" spans="1:59" s="90" customFormat="1" ht="14.25" customHeight="1" x14ac:dyDescent="0.2">
      <c r="A414" s="127"/>
      <c r="B414"/>
      <c r="C414" s="134"/>
      <c r="D414"/>
      <c r="E414"/>
      <c r="F414"/>
      <c r="G414"/>
      <c r="H414"/>
      <c r="I414"/>
      <c r="J414"/>
      <c r="K414"/>
      <c r="L414"/>
      <c r="M414"/>
      <c r="N414"/>
      <c r="O414"/>
      <c r="P414"/>
      <c r="Q414"/>
      <c r="R414"/>
      <c r="S414"/>
      <c r="T414"/>
      <c r="U414"/>
      <c r="V414"/>
      <c r="W414"/>
      <c r="X414" s="66"/>
      <c r="Y414" s="4"/>
      <c r="Z414" s="4"/>
      <c r="AA414" s="4"/>
      <c r="AB414" s="4"/>
      <c r="AC414" s="4"/>
      <c r="AD414" s="4"/>
      <c r="AE414" s="4"/>
      <c r="AF414" s="4"/>
      <c r="AG414"/>
      <c r="AH414"/>
      <c r="AI414"/>
      <c r="AJ414"/>
      <c r="AK414"/>
      <c r="AL414"/>
      <c r="AM414"/>
      <c r="AN414"/>
      <c r="AO414" s="148">
        <f t="shared" si="163"/>
        <v>8.9299000000000017</v>
      </c>
      <c r="AP414" s="195">
        <v>301</v>
      </c>
      <c r="AQ414" s="195" t="s">
        <v>519</v>
      </c>
      <c r="AR414" s="195" t="s">
        <v>521</v>
      </c>
      <c r="AS414" s="195" t="s">
        <v>529</v>
      </c>
      <c r="AT414" s="195" t="s">
        <v>522</v>
      </c>
      <c r="AU414" s="195" t="s">
        <v>530</v>
      </c>
      <c r="AV414" s="195" t="s">
        <v>523</v>
      </c>
      <c r="AW414" s="195" t="s">
        <v>525</v>
      </c>
      <c r="AX414" s="195" t="s">
        <v>526</v>
      </c>
      <c r="AZ414"/>
      <c r="BA414"/>
      <c r="BB414"/>
      <c r="BC414"/>
      <c r="BD414"/>
      <c r="BE414"/>
      <c r="BF414" s="152"/>
      <c r="BG414" s="152"/>
    </row>
    <row r="415" spans="1:59" s="90" customFormat="1" ht="14.25" customHeight="1" x14ac:dyDescent="0.2">
      <c r="A415" s="127"/>
      <c r="B415"/>
      <c r="C415" s="134"/>
      <c r="D415"/>
      <c r="E415"/>
      <c r="F415"/>
      <c r="G415"/>
      <c r="H415"/>
      <c r="I415"/>
      <c r="J415"/>
      <c r="K415"/>
      <c r="L415"/>
      <c r="M415"/>
      <c r="N415"/>
      <c r="O415"/>
      <c r="P415"/>
      <c r="Q415"/>
      <c r="R415"/>
      <c r="S415"/>
      <c r="T415"/>
      <c r="U415"/>
      <c r="V415"/>
      <c r="W415"/>
      <c r="X415" s="66"/>
      <c r="Y415" s="4"/>
      <c r="Z415" s="4"/>
      <c r="AA415" s="4"/>
      <c r="AB415" s="4"/>
      <c r="AC415" s="4"/>
      <c r="AD415" s="4"/>
      <c r="AE415" s="4"/>
      <c r="AF415" s="4"/>
      <c r="AG415"/>
      <c r="AH415"/>
      <c r="AI415"/>
      <c r="AJ415"/>
      <c r="AK415"/>
      <c r="AL415"/>
      <c r="AM415"/>
      <c r="AN415"/>
      <c r="AO415" s="148">
        <f t="shared" si="163"/>
        <v>8.9281000000000006</v>
      </c>
      <c r="AP415" s="195">
        <v>302</v>
      </c>
      <c r="AQ415" s="195" t="s">
        <v>519</v>
      </c>
      <c r="AR415" s="195" t="s">
        <v>520</v>
      </c>
      <c r="AS415" s="195" t="s">
        <v>529</v>
      </c>
      <c r="AT415" s="195" t="s">
        <v>522</v>
      </c>
      <c r="AU415" s="195" t="s">
        <v>530</v>
      </c>
      <c r="AV415" s="195" t="s">
        <v>523</v>
      </c>
      <c r="AW415" s="195" t="s">
        <v>525</v>
      </c>
      <c r="AX415" s="195" t="s">
        <v>521</v>
      </c>
      <c r="AZ415"/>
      <c r="BA415"/>
      <c r="BB415"/>
      <c r="BC415"/>
      <c r="BD415"/>
      <c r="BE415"/>
      <c r="BF415" s="152"/>
      <c r="BG415" s="152"/>
    </row>
    <row r="416" spans="1:59" s="90" customFormat="1" ht="14.25" customHeight="1" x14ac:dyDescent="0.2">
      <c r="A416" s="127"/>
      <c r="B416"/>
      <c r="C416" s="134"/>
      <c r="D416"/>
      <c r="E416"/>
      <c r="F416"/>
      <c r="G416"/>
      <c r="H416"/>
      <c r="I416"/>
      <c r="J416"/>
      <c r="K416"/>
      <c r="L416"/>
      <c r="M416"/>
      <c r="N416"/>
      <c r="O416"/>
      <c r="P416"/>
      <c r="Q416"/>
      <c r="R416"/>
      <c r="S416"/>
      <c r="T416"/>
      <c r="U416"/>
      <c r="V416"/>
      <c r="W416"/>
      <c r="X416" s="66"/>
      <c r="Y416" s="4"/>
      <c r="Z416" s="4"/>
      <c r="AA416" s="4"/>
      <c r="AB416" s="4"/>
      <c r="AC416" s="4"/>
      <c r="AD416" s="4"/>
      <c r="AE416" s="4"/>
      <c r="AF416" s="4"/>
      <c r="AG416"/>
      <c r="AH416"/>
      <c r="AI416"/>
      <c r="AJ416"/>
      <c r="AK416"/>
      <c r="AL416"/>
      <c r="AM416"/>
      <c r="AN416"/>
      <c r="AO416" s="148">
        <f t="shared" si="163"/>
        <v>8.9294000000000011</v>
      </c>
      <c r="AP416" s="195">
        <v>303</v>
      </c>
      <c r="AQ416" s="195" t="s">
        <v>519</v>
      </c>
      <c r="AR416" s="195" t="s">
        <v>520</v>
      </c>
      <c r="AS416" s="195" t="s">
        <v>529</v>
      </c>
      <c r="AT416" s="195" t="s">
        <v>522</v>
      </c>
      <c r="AU416" s="195" t="s">
        <v>530</v>
      </c>
      <c r="AV416" s="195" t="s">
        <v>523</v>
      </c>
      <c r="AW416" s="195" t="s">
        <v>521</v>
      </c>
      <c r="AX416" s="195" t="s">
        <v>526</v>
      </c>
      <c r="AZ416"/>
      <c r="BA416"/>
      <c r="BB416"/>
      <c r="BC416"/>
      <c r="BD416"/>
      <c r="BE416"/>
      <c r="BF416" s="152"/>
      <c r="BG416" s="152"/>
    </row>
    <row r="417" spans="1:59" s="90" customFormat="1" ht="14.25" customHeight="1" x14ac:dyDescent="0.2">
      <c r="A417" s="127"/>
      <c r="B417"/>
      <c r="C417" s="134"/>
      <c r="D417"/>
      <c r="E417"/>
      <c r="F417"/>
      <c r="G417"/>
      <c r="H417"/>
      <c r="I417"/>
      <c r="J417"/>
      <c r="K417"/>
      <c r="L417"/>
      <c r="M417"/>
      <c r="N417"/>
      <c r="O417"/>
      <c r="P417"/>
      <c r="Q417"/>
      <c r="R417"/>
      <c r="S417"/>
      <c r="T417"/>
      <c r="U417"/>
      <c r="V417"/>
      <c r="W417"/>
      <c r="X417" s="66"/>
      <c r="Y417" s="4"/>
      <c r="Z417" s="4"/>
      <c r="AA417" s="4"/>
      <c r="AB417" s="4"/>
      <c r="AC417" s="4"/>
      <c r="AD417" s="4"/>
      <c r="AE417" s="4"/>
      <c r="AF417" s="4"/>
      <c r="AG417"/>
      <c r="AH417"/>
      <c r="AI417"/>
      <c r="AJ417"/>
      <c r="AK417"/>
      <c r="AL417"/>
      <c r="AM417"/>
      <c r="AN417"/>
      <c r="AO417" s="148">
        <f t="shared" si="163"/>
        <v>8.926400000000001</v>
      </c>
      <c r="AP417" s="195">
        <v>304</v>
      </c>
      <c r="AQ417" s="195" t="s">
        <v>519</v>
      </c>
      <c r="AR417" s="195" t="s">
        <v>520</v>
      </c>
      <c r="AS417" s="195" t="s">
        <v>529</v>
      </c>
      <c r="AT417" s="195" t="s">
        <v>522</v>
      </c>
      <c r="AU417" s="195" t="s">
        <v>530</v>
      </c>
      <c r="AV417" s="195" t="s">
        <v>524</v>
      </c>
      <c r="AW417" s="195" t="s">
        <v>525</v>
      </c>
      <c r="AX417" s="195" t="s">
        <v>526</v>
      </c>
      <c r="AZ417"/>
      <c r="BA417"/>
      <c r="BB417"/>
      <c r="BC417"/>
      <c r="BD417"/>
      <c r="BE417"/>
      <c r="BF417" s="152"/>
      <c r="BG417" s="152"/>
    </row>
    <row r="418" spans="1:59" s="90" customFormat="1" ht="14.25" customHeight="1" x14ac:dyDescent="0.2">
      <c r="A418" s="127"/>
      <c r="B418"/>
      <c r="C418" s="134"/>
      <c r="D418"/>
      <c r="E418"/>
      <c r="F418"/>
      <c r="G418"/>
      <c r="H418"/>
      <c r="I418"/>
      <c r="J418"/>
      <c r="K418"/>
      <c r="L418"/>
      <c r="M418"/>
      <c r="N418"/>
      <c r="O418"/>
      <c r="P418"/>
      <c r="Q418"/>
      <c r="R418"/>
      <c r="S418"/>
      <c r="T418"/>
      <c r="U418"/>
      <c r="V418"/>
      <c r="W418"/>
      <c r="X418" s="66"/>
      <c r="Y418" s="4"/>
      <c r="Z418" s="4"/>
      <c r="AA418" s="4"/>
      <c r="AB418" s="4"/>
      <c r="AC418" s="4"/>
      <c r="AD418" s="4"/>
      <c r="AE418" s="4"/>
      <c r="AF418" s="4"/>
      <c r="AG418"/>
      <c r="AH418"/>
      <c r="AI418"/>
      <c r="AJ418"/>
      <c r="AK418"/>
      <c r="AL418"/>
      <c r="AM418"/>
      <c r="AN418"/>
      <c r="AO418" s="148">
        <f t="shared" si="163"/>
        <v>8.9267000000000003</v>
      </c>
      <c r="AP418" s="195">
        <v>305</v>
      </c>
      <c r="AQ418" s="195" t="s">
        <v>519</v>
      </c>
      <c r="AR418" s="195" t="s">
        <v>524</v>
      </c>
      <c r="AS418" s="195" t="s">
        <v>529</v>
      </c>
      <c r="AT418" s="195" t="s">
        <v>530</v>
      </c>
      <c r="AU418" s="195" t="s">
        <v>521</v>
      </c>
      <c r="AV418" s="195" t="s">
        <v>522</v>
      </c>
      <c r="AW418" s="195" t="s">
        <v>525</v>
      </c>
      <c r="AX418" s="195" t="s">
        <v>526</v>
      </c>
      <c r="AZ418"/>
      <c r="BA418"/>
      <c r="BB418"/>
      <c r="BC418"/>
      <c r="BD418"/>
      <c r="BE418"/>
      <c r="BF418" s="152"/>
      <c r="BG418" s="152"/>
    </row>
    <row r="419" spans="1:59" s="90" customFormat="1" ht="14.25" customHeight="1" x14ac:dyDescent="0.2">
      <c r="A419" s="127"/>
      <c r="B419"/>
      <c r="C419" s="134"/>
      <c r="D419"/>
      <c r="E419"/>
      <c r="F419"/>
      <c r="G419"/>
      <c r="H419"/>
      <c r="I419"/>
      <c r="J419"/>
      <c r="K419"/>
      <c r="L419"/>
      <c r="M419"/>
      <c r="N419"/>
      <c r="O419"/>
      <c r="P419"/>
      <c r="Q419"/>
      <c r="R419"/>
      <c r="S419"/>
      <c r="T419"/>
      <c r="U419"/>
      <c r="V419"/>
      <c r="W419"/>
      <c r="X419" s="66"/>
      <c r="Y419" s="4"/>
      <c r="Z419" s="4"/>
      <c r="AA419" s="4"/>
      <c r="AB419" s="4"/>
      <c r="AC419" s="4"/>
      <c r="AD419" s="4"/>
      <c r="AE419" s="4"/>
      <c r="AF419" s="4"/>
      <c r="AG419"/>
      <c r="AH419"/>
      <c r="AI419"/>
      <c r="AJ419"/>
      <c r="AK419"/>
      <c r="AL419"/>
      <c r="AM419"/>
      <c r="AN419"/>
      <c r="AO419" s="148">
        <f t="shared" si="163"/>
        <v>8.9249000000000009</v>
      </c>
      <c r="AP419" s="195">
        <v>306</v>
      </c>
      <c r="AQ419" s="195" t="s">
        <v>519</v>
      </c>
      <c r="AR419" s="195" t="s">
        <v>520</v>
      </c>
      <c r="AS419" s="195" t="s">
        <v>529</v>
      </c>
      <c r="AT419" s="195" t="s">
        <v>522</v>
      </c>
      <c r="AU419" s="195" t="s">
        <v>530</v>
      </c>
      <c r="AV419" s="195" t="s">
        <v>524</v>
      </c>
      <c r="AW419" s="195" t="s">
        <v>525</v>
      </c>
      <c r="AX419" s="195" t="s">
        <v>521</v>
      </c>
      <c r="AZ419"/>
      <c r="BA419"/>
      <c r="BB419"/>
      <c r="BC419"/>
      <c r="BD419"/>
      <c r="BE419"/>
      <c r="BF419" s="152"/>
      <c r="BG419" s="152"/>
    </row>
    <row r="420" spans="1:59" s="90" customFormat="1" ht="14.25" customHeight="1" x14ac:dyDescent="0.2">
      <c r="A420" s="127"/>
      <c r="B420"/>
      <c r="C420" s="134"/>
      <c r="D420"/>
      <c r="E420"/>
      <c r="F420"/>
      <c r="G420"/>
      <c r="H420"/>
      <c r="I420"/>
      <c r="J420"/>
      <c r="K420"/>
      <c r="L420"/>
      <c r="M420"/>
      <c r="N420"/>
      <c r="O420"/>
      <c r="P420"/>
      <c r="Q420"/>
      <c r="R420"/>
      <c r="S420"/>
      <c r="T420"/>
      <c r="U420"/>
      <c r="V420"/>
      <c r="W420"/>
      <c r="X420" s="66"/>
      <c r="Y420" s="4"/>
      <c r="Z420" s="4"/>
      <c r="AA420" s="4"/>
      <c r="AB420" s="4"/>
      <c r="AC420" s="4"/>
      <c r="AD420" s="4"/>
      <c r="AE420" s="4"/>
      <c r="AF420" s="4"/>
      <c r="AG420"/>
      <c r="AH420"/>
      <c r="AI420"/>
      <c r="AJ420"/>
      <c r="AK420"/>
      <c r="AL420"/>
      <c r="AM420"/>
      <c r="AN420"/>
      <c r="AO420" s="148">
        <f t="shared" si="163"/>
        <v>8.9261999999999997</v>
      </c>
      <c r="AP420" s="195">
        <v>307</v>
      </c>
      <c r="AQ420" s="195" t="s">
        <v>519</v>
      </c>
      <c r="AR420" s="195" t="s">
        <v>520</v>
      </c>
      <c r="AS420" s="195" t="s">
        <v>529</v>
      </c>
      <c r="AT420" s="195" t="s">
        <v>522</v>
      </c>
      <c r="AU420" s="195" t="s">
        <v>530</v>
      </c>
      <c r="AV420" s="195" t="s">
        <v>524</v>
      </c>
      <c r="AW420" s="195" t="s">
        <v>521</v>
      </c>
      <c r="AX420" s="195" t="s">
        <v>526</v>
      </c>
      <c r="AZ420"/>
      <c r="BA420"/>
      <c r="BB420"/>
      <c r="BC420"/>
      <c r="BD420"/>
      <c r="BE420"/>
      <c r="BF420" s="152"/>
      <c r="BG420" s="152"/>
    </row>
    <row r="421" spans="1:59" s="90" customFormat="1" ht="14.25" customHeight="1" x14ac:dyDescent="0.2">
      <c r="A421" s="127"/>
      <c r="B421"/>
      <c r="C421" s="134"/>
      <c r="D421"/>
      <c r="E421"/>
      <c r="F421"/>
      <c r="G421"/>
      <c r="H421"/>
      <c r="I421"/>
      <c r="J421"/>
      <c r="K421"/>
      <c r="L421"/>
      <c r="M421"/>
      <c r="N421"/>
      <c r="O421"/>
      <c r="P421"/>
      <c r="Q421"/>
      <c r="R421"/>
      <c r="S421"/>
      <c r="T421"/>
      <c r="U421"/>
      <c r="V421"/>
      <c r="W421"/>
      <c r="X421" s="66"/>
      <c r="Y421" s="4"/>
      <c r="Z421" s="4"/>
      <c r="AA421" s="4"/>
      <c r="AB421" s="4"/>
      <c r="AC421" s="4"/>
      <c r="AD421" s="4"/>
      <c r="AE421" s="4"/>
      <c r="AF421" s="4"/>
      <c r="AG421"/>
      <c r="AH421"/>
      <c r="AI421"/>
      <c r="AJ421"/>
      <c r="AK421"/>
      <c r="AL421"/>
      <c r="AM421"/>
      <c r="AN421"/>
      <c r="AO421" s="148">
        <f t="shared" si="163"/>
        <v>8.9297000000000004</v>
      </c>
      <c r="AP421" s="195">
        <v>308</v>
      </c>
      <c r="AQ421" s="195" t="s">
        <v>519</v>
      </c>
      <c r="AR421" s="195" t="s">
        <v>524</v>
      </c>
      <c r="AS421" s="195" t="s">
        <v>529</v>
      </c>
      <c r="AT421" s="195" t="s">
        <v>522</v>
      </c>
      <c r="AU421" s="195" t="s">
        <v>530</v>
      </c>
      <c r="AV421" s="195" t="s">
        <v>523</v>
      </c>
      <c r="AW421" s="195" t="s">
        <v>525</v>
      </c>
      <c r="AX421" s="195" t="s">
        <v>526</v>
      </c>
      <c r="AZ421"/>
      <c r="BA421"/>
      <c r="BB421"/>
      <c r="BC421"/>
      <c r="BD421"/>
      <c r="BE421"/>
      <c r="BF421" s="152"/>
      <c r="BG421" s="152"/>
    </row>
    <row r="422" spans="1:59" s="90" customFormat="1" ht="14.25" customHeight="1" x14ac:dyDescent="0.2">
      <c r="A422" s="127"/>
      <c r="B422"/>
      <c r="C422" s="134"/>
      <c r="D422"/>
      <c r="E422"/>
      <c r="F422"/>
      <c r="G422"/>
      <c r="H422"/>
      <c r="I422"/>
      <c r="J422"/>
      <c r="K422"/>
      <c r="L422"/>
      <c r="M422"/>
      <c r="N422"/>
      <c r="O422"/>
      <c r="P422"/>
      <c r="Q422"/>
      <c r="R422"/>
      <c r="S422"/>
      <c r="T422"/>
      <c r="U422"/>
      <c r="V422"/>
      <c r="W422"/>
      <c r="X422" s="66"/>
      <c r="Y422" s="4"/>
      <c r="Z422" s="4"/>
      <c r="AA422" s="4"/>
      <c r="AB422" s="4"/>
      <c r="AC422" s="4"/>
      <c r="AD422" s="4"/>
      <c r="AE422" s="4"/>
      <c r="AF422" s="4"/>
      <c r="AG422"/>
      <c r="AH422"/>
      <c r="AI422"/>
      <c r="AJ422"/>
      <c r="AK422"/>
      <c r="AL422"/>
      <c r="AM422"/>
      <c r="AN422"/>
      <c r="AO422" s="148">
        <f t="shared" si="163"/>
        <v>8.9279000000000011</v>
      </c>
      <c r="AP422" s="195">
        <v>309</v>
      </c>
      <c r="AQ422" s="195" t="s">
        <v>523</v>
      </c>
      <c r="AR422" s="195" t="s">
        <v>520</v>
      </c>
      <c r="AS422" s="195" t="s">
        <v>529</v>
      </c>
      <c r="AT422" s="195" t="s">
        <v>522</v>
      </c>
      <c r="AU422" s="195" t="s">
        <v>530</v>
      </c>
      <c r="AV422" s="195" t="s">
        <v>524</v>
      </c>
      <c r="AW422" s="195" t="s">
        <v>525</v>
      </c>
      <c r="AX422" s="195" t="s">
        <v>519</v>
      </c>
      <c r="AZ422"/>
      <c r="BA422"/>
      <c r="BB422"/>
      <c r="BC422"/>
      <c r="BD422"/>
      <c r="BE422"/>
      <c r="BF422" s="152"/>
      <c r="BG422" s="152"/>
    </row>
    <row r="423" spans="1:59" s="90" customFormat="1" ht="14.25" customHeight="1" x14ac:dyDescent="0.2">
      <c r="A423" s="127"/>
      <c r="B423"/>
      <c r="C423" s="134"/>
      <c r="D423"/>
      <c r="E423"/>
      <c r="F423"/>
      <c r="G423"/>
      <c r="H423"/>
      <c r="I423"/>
      <c r="J423"/>
      <c r="K423"/>
      <c r="L423"/>
      <c r="M423"/>
      <c r="N423"/>
      <c r="O423"/>
      <c r="P423"/>
      <c r="Q423"/>
      <c r="R423"/>
      <c r="S423"/>
      <c r="T423"/>
      <c r="U423"/>
      <c r="V423"/>
      <c r="W423"/>
      <c r="X423" s="66"/>
      <c r="Y423" s="4"/>
      <c r="Z423" s="4"/>
      <c r="AA423" s="4"/>
      <c r="AB423" s="4"/>
      <c r="AC423" s="4"/>
      <c r="AD423" s="4"/>
      <c r="AE423" s="4"/>
      <c r="AF423" s="4"/>
      <c r="AG423"/>
      <c r="AH423"/>
      <c r="AI423"/>
      <c r="AJ423"/>
      <c r="AK423"/>
      <c r="AL423"/>
      <c r="AM423"/>
      <c r="AN423"/>
      <c r="AO423" s="148">
        <f t="shared" si="163"/>
        <v>8.9292000000000016</v>
      </c>
      <c r="AP423" s="195">
        <v>310</v>
      </c>
      <c r="AQ423" s="195" t="s">
        <v>523</v>
      </c>
      <c r="AR423" s="195" t="s">
        <v>520</v>
      </c>
      <c r="AS423" s="195" t="s">
        <v>529</v>
      </c>
      <c r="AT423" s="195" t="s">
        <v>522</v>
      </c>
      <c r="AU423" s="195" t="s">
        <v>530</v>
      </c>
      <c r="AV423" s="195" t="s">
        <v>524</v>
      </c>
      <c r="AW423" s="195" t="s">
        <v>519</v>
      </c>
      <c r="AX423" s="195" t="s">
        <v>526</v>
      </c>
      <c r="AZ423"/>
      <c r="BA423"/>
      <c r="BB423"/>
      <c r="BC423"/>
      <c r="BD423"/>
      <c r="BE423"/>
      <c r="BF423" s="152"/>
      <c r="BG423" s="152"/>
    </row>
    <row r="424" spans="1:59" s="90" customFormat="1" ht="14.25" customHeight="1" x14ac:dyDescent="0.2">
      <c r="A424" s="127"/>
      <c r="B424"/>
      <c r="C424" s="134"/>
      <c r="D424"/>
      <c r="E424"/>
      <c r="F424"/>
      <c r="G424"/>
      <c r="H424"/>
      <c r="I424"/>
      <c r="J424"/>
      <c r="K424"/>
      <c r="L424"/>
      <c r="M424"/>
      <c r="N424"/>
      <c r="O424"/>
      <c r="P424"/>
      <c r="Q424"/>
      <c r="R424"/>
      <c r="S424"/>
      <c r="T424"/>
      <c r="U424"/>
      <c r="V424"/>
      <c r="W424"/>
      <c r="X424" s="66"/>
      <c r="Y424" s="4"/>
      <c r="Z424" s="4"/>
      <c r="AA424" s="4"/>
      <c r="AB424" s="4"/>
      <c r="AC424" s="4"/>
      <c r="AD424" s="4"/>
      <c r="AE424" s="4"/>
      <c r="AF424" s="4"/>
      <c r="AG424"/>
      <c r="AH424"/>
      <c r="AI424"/>
      <c r="AJ424"/>
      <c r="AK424"/>
      <c r="AL424"/>
      <c r="AM424"/>
      <c r="AN424"/>
      <c r="AO424" s="148">
        <f t="shared" si="163"/>
        <v>8.9282000000000021</v>
      </c>
      <c r="AP424" s="195">
        <v>311</v>
      </c>
      <c r="AQ424" s="195" t="s">
        <v>519</v>
      </c>
      <c r="AR424" s="195" t="s">
        <v>524</v>
      </c>
      <c r="AS424" s="195" t="s">
        <v>529</v>
      </c>
      <c r="AT424" s="195" t="s">
        <v>522</v>
      </c>
      <c r="AU424" s="195" t="s">
        <v>530</v>
      </c>
      <c r="AV424" s="195" t="s">
        <v>523</v>
      </c>
      <c r="AW424" s="195" t="s">
        <v>525</v>
      </c>
      <c r="AX424" s="195" t="s">
        <v>521</v>
      </c>
      <c r="AZ424"/>
      <c r="BA424"/>
      <c r="BB424"/>
      <c r="BC424"/>
      <c r="BD424"/>
      <c r="BE424"/>
      <c r="BF424" s="152"/>
      <c r="BG424" s="152"/>
    </row>
    <row r="425" spans="1:59" s="90" customFormat="1" ht="14.25" customHeight="1" x14ac:dyDescent="0.2">
      <c r="A425" s="127"/>
      <c r="B425"/>
      <c r="C425" s="134"/>
      <c r="D425"/>
      <c r="E425"/>
      <c r="F425"/>
      <c r="G425"/>
      <c r="H425"/>
      <c r="I425"/>
      <c r="J425"/>
      <c r="K425"/>
      <c r="L425"/>
      <c r="M425"/>
      <c r="N425"/>
      <c r="O425"/>
      <c r="P425"/>
      <c r="Q425"/>
      <c r="R425"/>
      <c r="S425"/>
      <c r="T425"/>
      <c r="U425"/>
      <c r="V425"/>
      <c r="W425"/>
      <c r="X425" s="66"/>
      <c r="Y425" s="4"/>
      <c r="Z425" s="4"/>
      <c r="AA425" s="4"/>
      <c r="AB425" s="4"/>
      <c r="AC425" s="4"/>
      <c r="AD425" s="4"/>
      <c r="AE425" s="4"/>
      <c r="AF425" s="4"/>
      <c r="AG425"/>
      <c r="AH425"/>
      <c r="AI425"/>
      <c r="AJ425"/>
      <c r="AK425"/>
      <c r="AL425"/>
      <c r="AM425"/>
      <c r="AN425"/>
      <c r="AO425" s="148">
        <f t="shared" si="163"/>
        <v>8.9295000000000009</v>
      </c>
      <c r="AP425" s="195">
        <v>312</v>
      </c>
      <c r="AQ425" s="195" t="s">
        <v>519</v>
      </c>
      <c r="AR425" s="195" t="s">
        <v>524</v>
      </c>
      <c r="AS425" s="195" t="s">
        <v>529</v>
      </c>
      <c r="AT425" s="195" t="s">
        <v>522</v>
      </c>
      <c r="AU425" s="195" t="s">
        <v>530</v>
      </c>
      <c r="AV425" s="195" t="s">
        <v>523</v>
      </c>
      <c r="AW425" s="195" t="s">
        <v>521</v>
      </c>
      <c r="AX425" s="195" t="s">
        <v>526</v>
      </c>
      <c r="AZ425"/>
      <c r="BA425"/>
      <c r="BB425"/>
      <c r="BC425"/>
      <c r="BD425"/>
      <c r="BE425"/>
      <c r="BF425" s="152"/>
      <c r="BG425" s="152"/>
    </row>
    <row r="426" spans="1:59" s="90" customFormat="1" ht="14.25" customHeight="1" x14ac:dyDescent="0.2">
      <c r="A426" s="127"/>
      <c r="B426"/>
      <c r="C426" s="134"/>
      <c r="D426"/>
      <c r="E426"/>
      <c r="F426"/>
      <c r="G426"/>
      <c r="H426"/>
      <c r="I426"/>
      <c r="J426"/>
      <c r="K426"/>
      <c r="L426"/>
      <c r="M426"/>
      <c r="N426"/>
      <c r="O426"/>
      <c r="P426"/>
      <c r="Q426"/>
      <c r="R426"/>
      <c r="S426"/>
      <c r="T426"/>
      <c r="U426"/>
      <c r="V426"/>
      <c r="W426"/>
      <c r="X426" s="66"/>
      <c r="Y426" s="4"/>
      <c r="Z426" s="4"/>
      <c r="AA426" s="4"/>
      <c r="AB426" s="4"/>
      <c r="AC426" s="4"/>
      <c r="AD426" s="4"/>
      <c r="AE426" s="4"/>
      <c r="AF426" s="4"/>
      <c r="AG426"/>
      <c r="AH426"/>
      <c r="AI426"/>
      <c r="AJ426"/>
      <c r="AK426"/>
      <c r="AL426"/>
      <c r="AM426"/>
      <c r="AN426"/>
      <c r="AO426" s="148">
        <f t="shared" si="163"/>
        <v>8.9277000000000015</v>
      </c>
      <c r="AP426" s="195">
        <v>313</v>
      </c>
      <c r="AQ426" s="195" t="s">
        <v>523</v>
      </c>
      <c r="AR426" s="195" t="s">
        <v>520</v>
      </c>
      <c r="AS426" s="195" t="s">
        <v>529</v>
      </c>
      <c r="AT426" s="195" t="s">
        <v>522</v>
      </c>
      <c r="AU426" s="195" t="s">
        <v>530</v>
      </c>
      <c r="AV426" s="195" t="s">
        <v>524</v>
      </c>
      <c r="AW426" s="195" t="s">
        <v>519</v>
      </c>
      <c r="AX426" s="195" t="s">
        <v>521</v>
      </c>
      <c r="AZ426"/>
      <c r="BA426"/>
      <c r="BB426"/>
      <c r="BC426"/>
      <c r="BD426"/>
      <c r="BE426"/>
      <c r="BF426" s="152"/>
      <c r="BG426" s="152"/>
    </row>
    <row r="427" spans="1:59" s="90" customFormat="1" ht="14.25" customHeight="1" x14ac:dyDescent="0.2">
      <c r="A427" s="127"/>
      <c r="B427"/>
      <c r="C427" s="134"/>
      <c r="D427"/>
      <c r="E427"/>
      <c r="F427"/>
      <c r="G427"/>
      <c r="H427"/>
      <c r="I427"/>
      <c r="J427"/>
      <c r="K427"/>
      <c r="L427"/>
      <c r="M427"/>
      <c r="N427"/>
      <c r="O427"/>
      <c r="P427"/>
      <c r="Q427"/>
      <c r="R427"/>
      <c r="S427"/>
      <c r="T427"/>
      <c r="U427"/>
      <c r="V427"/>
      <c r="W427"/>
      <c r="X427" s="66"/>
      <c r="Y427" s="4"/>
      <c r="Z427" s="4"/>
      <c r="AA427" s="4"/>
      <c r="AB427" s="4"/>
      <c r="AC427" s="4"/>
      <c r="AD427" s="4"/>
      <c r="AE427" s="4"/>
      <c r="AF427" s="4"/>
      <c r="AG427"/>
      <c r="AH427"/>
      <c r="AI427"/>
      <c r="AJ427"/>
      <c r="AK427"/>
      <c r="AL427"/>
      <c r="AM427"/>
      <c r="AN427"/>
      <c r="AO427" s="148">
        <f t="shared" si="163"/>
        <v>8.9282000000000004</v>
      </c>
      <c r="AP427" s="195">
        <v>314</v>
      </c>
      <c r="AQ427" s="195" t="s">
        <v>521</v>
      </c>
      <c r="AR427" s="195" t="s">
        <v>520</v>
      </c>
      <c r="AS427" s="195" t="s">
        <v>529</v>
      </c>
      <c r="AT427" s="195" t="s">
        <v>527</v>
      </c>
      <c r="AU427" s="195" t="s">
        <v>530</v>
      </c>
      <c r="AV427" s="195" t="s">
        <v>523</v>
      </c>
      <c r="AW427" s="195" t="s">
        <v>525</v>
      </c>
      <c r="AX427" s="195" t="s">
        <v>526</v>
      </c>
      <c r="AZ427"/>
      <c r="BA427"/>
      <c r="BB427"/>
      <c r="BC427"/>
      <c r="BD427"/>
      <c r="BE427"/>
      <c r="BF427" s="152"/>
      <c r="BG427" s="152"/>
    </row>
    <row r="428" spans="1:59" s="90" customFormat="1" ht="14.25" customHeight="1" x14ac:dyDescent="0.2">
      <c r="A428" s="127"/>
      <c r="B428"/>
      <c r="C428" s="134"/>
      <c r="D428"/>
      <c r="E428"/>
      <c r="F428"/>
      <c r="G428"/>
      <c r="H428"/>
      <c r="I428"/>
      <c r="J428"/>
      <c r="K428"/>
      <c r="L428"/>
      <c r="M428"/>
      <c r="N428"/>
      <c r="O428"/>
      <c r="P428"/>
      <c r="Q428"/>
      <c r="R428"/>
      <c r="S428"/>
      <c r="T428"/>
      <c r="U428"/>
      <c r="V428"/>
      <c r="W428"/>
      <c r="X428" s="66"/>
      <c r="Y428" s="4"/>
      <c r="Z428" s="4"/>
      <c r="AA428" s="4"/>
      <c r="AB428" s="4"/>
      <c r="AC428" s="4"/>
      <c r="AD428" s="4"/>
      <c r="AE428" s="4"/>
      <c r="AF428" s="4"/>
      <c r="AG428"/>
      <c r="AH428"/>
      <c r="AI428"/>
      <c r="AJ428"/>
      <c r="AK428"/>
      <c r="AL428"/>
      <c r="AM428"/>
      <c r="AN428"/>
      <c r="AO428" s="148">
        <f t="shared" si="163"/>
        <v>8.9250000000000007</v>
      </c>
      <c r="AP428" s="195">
        <v>315</v>
      </c>
      <c r="AQ428" s="195" t="s">
        <v>521</v>
      </c>
      <c r="AR428" s="195" t="s">
        <v>520</v>
      </c>
      <c r="AS428" s="195" t="s">
        <v>529</v>
      </c>
      <c r="AT428" s="195" t="s">
        <v>527</v>
      </c>
      <c r="AU428" s="195" t="s">
        <v>530</v>
      </c>
      <c r="AV428" s="195" t="s">
        <v>524</v>
      </c>
      <c r="AW428" s="195" t="s">
        <v>525</v>
      </c>
      <c r="AX428" s="195" t="s">
        <v>526</v>
      </c>
      <c r="AZ428"/>
      <c r="BA428"/>
      <c r="BB428"/>
      <c r="BC428"/>
      <c r="BD428"/>
      <c r="BE428"/>
      <c r="BF428" s="152"/>
      <c r="BG428" s="152"/>
    </row>
    <row r="429" spans="1:59" s="90" customFormat="1" ht="14.25" customHeight="1" x14ac:dyDescent="0.2">
      <c r="A429" s="127"/>
      <c r="B429"/>
      <c r="C429" s="134"/>
      <c r="D429"/>
      <c r="E429"/>
      <c r="F429"/>
      <c r="G429"/>
      <c r="H429"/>
      <c r="I429"/>
      <c r="J429"/>
      <c r="K429"/>
      <c r="L429"/>
      <c r="M429"/>
      <c r="N429"/>
      <c r="O429"/>
      <c r="P429"/>
      <c r="Q429"/>
      <c r="R429"/>
      <c r="S429"/>
      <c r="T429"/>
      <c r="U429"/>
      <c r="V429"/>
      <c r="W429"/>
      <c r="X429" s="66"/>
      <c r="Y429" s="4"/>
      <c r="Z429" s="4"/>
      <c r="AA429" s="4"/>
      <c r="AB429" s="4"/>
      <c r="AC429" s="4"/>
      <c r="AD429" s="4"/>
      <c r="AE429" s="4"/>
      <c r="AF429" s="4"/>
      <c r="AG429"/>
      <c r="AH429"/>
      <c r="AI429"/>
      <c r="AJ429"/>
      <c r="AK429"/>
      <c r="AL429"/>
      <c r="AM429"/>
      <c r="AN429"/>
      <c r="AO429" s="148">
        <f t="shared" si="163"/>
        <v>8.9280000000000008</v>
      </c>
      <c r="AP429" s="195">
        <v>316</v>
      </c>
      <c r="AQ429" s="195" t="s">
        <v>523</v>
      </c>
      <c r="AR429" s="195" t="s">
        <v>520</v>
      </c>
      <c r="AS429" s="195" t="s">
        <v>529</v>
      </c>
      <c r="AT429" s="195" t="s">
        <v>527</v>
      </c>
      <c r="AU429" s="195" t="s">
        <v>530</v>
      </c>
      <c r="AV429" s="195" t="s">
        <v>524</v>
      </c>
      <c r="AW429" s="195" t="s">
        <v>525</v>
      </c>
      <c r="AX429" s="195" t="s">
        <v>526</v>
      </c>
      <c r="AZ429"/>
      <c r="BA429"/>
      <c r="BB429"/>
      <c r="BC429"/>
      <c r="BD429"/>
      <c r="BE429"/>
      <c r="BF429" s="152"/>
      <c r="BG429" s="152"/>
    </row>
    <row r="430" spans="1:59" s="90" customFormat="1" ht="14.25" customHeight="1" x14ac:dyDescent="0.2">
      <c r="A430" s="127"/>
      <c r="B430"/>
      <c r="C430" s="134"/>
      <c r="D430"/>
      <c r="E430"/>
      <c r="F430"/>
      <c r="G430"/>
      <c r="H430"/>
      <c r="I430"/>
      <c r="J430"/>
      <c r="K430"/>
      <c r="L430"/>
      <c r="M430"/>
      <c r="N430"/>
      <c r="O430"/>
      <c r="P430"/>
      <c r="Q430"/>
      <c r="R430"/>
      <c r="S430"/>
      <c r="T430"/>
      <c r="U430"/>
      <c r="V430"/>
      <c r="W430"/>
      <c r="X430" s="66"/>
      <c r="Y430" s="4"/>
      <c r="Z430" s="4"/>
      <c r="AA430" s="4"/>
      <c r="AB430" s="4"/>
      <c r="AC430" s="4"/>
      <c r="AD430" s="4"/>
      <c r="AE430" s="4"/>
      <c r="AF430" s="4"/>
      <c r="AG430"/>
      <c r="AH430"/>
      <c r="AI430"/>
      <c r="AJ430"/>
      <c r="AK430"/>
      <c r="AL430"/>
      <c r="AM430"/>
      <c r="AN430"/>
      <c r="AO430" s="148">
        <f t="shared" si="163"/>
        <v>8.9283000000000019</v>
      </c>
      <c r="AP430" s="195">
        <v>317</v>
      </c>
      <c r="AQ430" s="195" t="s">
        <v>521</v>
      </c>
      <c r="AR430" s="195" t="s">
        <v>524</v>
      </c>
      <c r="AS430" s="195" t="s">
        <v>529</v>
      </c>
      <c r="AT430" s="195" t="s">
        <v>527</v>
      </c>
      <c r="AU430" s="195" t="s">
        <v>530</v>
      </c>
      <c r="AV430" s="195" t="s">
        <v>523</v>
      </c>
      <c r="AW430" s="195" t="s">
        <v>525</v>
      </c>
      <c r="AX430" s="195" t="s">
        <v>526</v>
      </c>
      <c r="AZ430"/>
      <c r="BA430"/>
      <c r="BB430"/>
      <c r="BC430"/>
      <c r="BD430"/>
      <c r="BE430"/>
      <c r="BF430" s="152"/>
      <c r="BG430" s="152"/>
    </row>
    <row r="431" spans="1:59" s="90" customFormat="1" ht="14.25" customHeight="1" x14ac:dyDescent="0.2">
      <c r="A431" s="127"/>
      <c r="B431"/>
      <c r="C431" s="134"/>
      <c r="D431"/>
      <c r="E431"/>
      <c r="F431"/>
      <c r="G431"/>
      <c r="H431"/>
      <c r="I431"/>
      <c r="J431"/>
      <c r="K431"/>
      <c r="L431"/>
      <c r="M431"/>
      <c r="N431"/>
      <c r="O431"/>
      <c r="P431"/>
      <c r="Q431"/>
      <c r="R431"/>
      <c r="S431"/>
      <c r="T431"/>
      <c r="U431"/>
      <c r="V431"/>
      <c r="W431"/>
      <c r="X431" s="66"/>
      <c r="Y431" s="4"/>
      <c r="Z431" s="4"/>
      <c r="AA431" s="4"/>
      <c r="AB431" s="4"/>
      <c r="AC431" s="4"/>
      <c r="AD431" s="4"/>
      <c r="AE431" s="4"/>
      <c r="AF431" s="4"/>
      <c r="AG431"/>
      <c r="AH431"/>
      <c r="AI431"/>
      <c r="AJ431"/>
      <c r="AK431"/>
      <c r="AL431"/>
      <c r="AM431"/>
      <c r="AN431"/>
      <c r="AO431" s="148">
        <f t="shared" si="163"/>
        <v>8.9265000000000008</v>
      </c>
      <c r="AP431" s="195">
        <v>318</v>
      </c>
      <c r="AQ431" s="195" t="s">
        <v>523</v>
      </c>
      <c r="AR431" s="195" t="s">
        <v>520</v>
      </c>
      <c r="AS431" s="195" t="s">
        <v>529</v>
      </c>
      <c r="AT431" s="195" t="s">
        <v>527</v>
      </c>
      <c r="AU431" s="195" t="s">
        <v>530</v>
      </c>
      <c r="AV431" s="195" t="s">
        <v>524</v>
      </c>
      <c r="AW431" s="195" t="s">
        <v>525</v>
      </c>
      <c r="AX431" s="195" t="s">
        <v>521</v>
      </c>
      <c r="AZ431"/>
      <c r="BA431"/>
      <c r="BB431"/>
      <c r="BC431"/>
      <c r="BD431"/>
      <c r="BE431"/>
      <c r="BF431" s="152"/>
      <c r="BG431" s="152"/>
    </row>
    <row r="432" spans="1:59" s="90" customFormat="1" ht="14.25" customHeight="1" x14ac:dyDescent="0.2">
      <c r="A432" s="127"/>
      <c r="B432"/>
      <c r="C432" s="134"/>
      <c r="D432"/>
      <c r="E432"/>
      <c r="F432"/>
      <c r="G432"/>
      <c r="H432"/>
      <c r="I432"/>
      <c r="J432"/>
      <c r="K432"/>
      <c r="L432"/>
      <c r="M432"/>
      <c r="N432"/>
      <c r="O432"/>
      <c r="P432"/>
      <c r="Q432"/>
      <c r="R432"/>
      <c r="S432"/>
      <c r="T432"/>
      <c r="U432"/>
      <c r="V432"/>
      <c r="W432"/>
      <c r="X432" s="66"/>
      <c r="Y432" s="4"/>
      <c r="Z432" s="4"/>
      <c r="AA432" s="4"/>
      <c r="AB432" s="4"/>
      <c r="AC432" s="4"/>
      <c r="AD432" s="4"/>
      <c r="AE432" s="4"/>
      <c r="AF432" s="4"/>
      <c r="AG432"/>
      <c r="AH432"/>
      <c r="AI432"/>
      <c r="AJ432"/>
      <c r="AK432"/>
      <c r="AL432"/>
      <c r="AM432"/>
      <c r="AN432"/>
      <c r="AO432" s="148">
        <f t="shared" si="163"/>
        <v>8.9277999999999995</v>
      </c>
      <c r="AP432" s="195">
        <v>319</v>
      </c>
      <c r="AQ432" s="195" t="s">
        <v>523</v>
      </c>
      <c r="AR432" s="195" t="s">
        <v>520</v>
      </c>
      <c r="AS432" s="195" t="s">
        <v>529</v>
      </c>
      <c r="AT432" s="195" t="s">
        <v>527</v>
      </c>
      <c r="AU432" s="195" t="s">
        <v>530</v>
      </c>
      <c r="AV432" s="195" t="s">
        <v>524</v>
      </c>
      <c r="AW432" s="195" t="s">
        <v>521</v>
      </c>
      <c r="AX432" s="195" t="s">
        <v>526</v>
      </c>
      <c r="AZ432"/>
      <c r="BA432"/>
      <c r="BB432"/>
      <c r="BC432"/>
      <c r="BD432"/>
      <c r="BE432"/>
      <c r="BF432" s="152"/>
      <c r="BG432" s="152"/>
    </row>
    <row r="433" spans="1:59" s="90" customFormat="1" ht="14.25" customHeight="1" x14ac:dyDescent="0.2">
      <c r="A433" s="127"/>
      <c r="B433"/>
      <c r="C433" s="134"/>
      <c r="D433"/>
      <c r="E433"/>
      <c r="F433"/>
      <c r="G433"/>
      <c r="H433"/>
      <c r="I433"/>
      <c r="J433"/>
      <c r="K433"/>
      <c r="L433"/>
      <c r="M433"/>
      <c r="N433"/>
      <c r="O433"/>
      <c r="P433"/>
      <c r="Q433"/>
      <c r="R433"/>
      <c r="S433"/>
      <c r="T433"/>
      <c r="U433"/>
      <c r="V433"/>
      <c r="W433"/>
      <c r="X433" s="66"/>
      <c r="Y433" s="4"/>
      <c r="Z433" s="4"/>
      <c r="AA433" s="4"/>
      <c r="AB433" s="4"/>
      <c r="AC433" s="4"/>
      <c r="AD433" s="4"/>
      <c r="AE433" s="4"/>
      <c r="AF433" s="4"/>
      <c r="AG433"/>
      <c r="AH433"/>
      <c r="AI433"/>
      <c r="AJ433"/>
      <c r="AK433"/>
      <c r="AL433"/>
      <c r="AM433"/>
      <c r="AN433"/>
      <c r="AO433" s="148">
        <f t="shared" si="163"/>
        <v>8.9259000000000022</v>
      </c>
      <c r="AP433" s="195">
        <v>320</v>
      </c>
      <c r="AQ433" s="195" t="s">
        <v>521</v>
      </c>
      <c r="AR433" s="195" t="s">
        <v>520</v>
      </c>
      <c r="AS433" s="195" t="s">
        <v>529</v>
      </c>
      <c r="AT433" s="195" t="s">
        <v>527</v>
      </c>
      <c r="AU433" s="195" t="s">
        <v>530</v>
      </c>
      <c r="AV433" s="195" t="s">
        <v>522</v>
      </c>
      <c r="AW433" s="195" t="s">
        <v>525</v>
      </c>
      <c r="AX433" s="195" t="s">
        <v>526</v>
      </c>
      <c r="AZ433"/>
      <c r="BA433"/>
      <c r="BB433"/>
      <c r="BC433"/>
      <c r="BD433"/>
      <c r="BE433"/>
      <c r="BF433" s="152"/>
      <c r="BG433" s="152"/>
    </row>
    <row r="434" spans="1:59" s="90" customFormat="1" ht="14.25" customHeight="1" x14ac:dyDescent="0.2">
      <c r="A434" s="127"/>
      <c r="B434"/>
      <c r="C434" s="134"/>
      <c r="D434"/>
      <c r="E434"/>
      <c r="F434"/>
      <c r="G434"/>
      <c r="H434"/>
      <c r="I434"/>
      <c r="J434"/>
      <c r="K434"/>
      <c r="L434"/>
      <c r="M434"/>
      <c r="N434"/>
      <c r="O434"/>
      <c r="P434"/>
      <c r="Q434"/>
      <c r="R434"/>
      <c r="S434"/>
      <c r="T434"/>
      <c r="U434"/>
      <c r="V434"/>
      <c r="W434"/>
      <c r="X434" s="66"/>
      <c r="Y434" s="4"/>
      <c r="Z434" s="4"/>
      <c r="AA434" s="4"/>
      <c r="AB434" s="4"/>
      <c r="AC434" s="4"/>
      <c r="AD434" s="4"/>
      <c r="AE434" s="4"/>
      <c r="AF434" s="4"/>
      <c r="AG434"/>
      <c r="AH434"/>
      <c r="AI434"/>
      <c r="AJ434"/>
      <c r="AK434"/>
      <c r="AL434"/>
      <c r="AM434"/>
      <c r="AN434"/>
      <c r="AO434" s="148">
        <f t="shared" ref="AO434:AO497" si="164">VLOOKUP(AQ434,$AN$98:$BA$109,14,0)+VLOOKUP(AR434,$AN$98:$BA$109,14,0)+VLOOKUP(AS434,$AN$98:$BA$109,14,0)+VLOOKUP(AT434,$AN$98:$BA$109,14,0)+VLOOKUP(AU434,$AN$98:$BA$109,14,0)+VLOOKUP(AV434,$AN$98:$BA$109,14,0)+VLOOKUP(AW434,$AN$98:$BA$109,14,0)+VLOOKUP(AX434,$AN$98:$BA$109,14,0)</f>
        <v>8.9289000000000005</v>
      </c>
      <c r="AP434" s="195">
        <v>321</v>
      </c>
      <c r="AQ434" s="195" t="s">
        <v>523</v>
      </c>
      <c r="AR434" s="195" t="s">
        <v>520</v>
      </c>
      <c r="AS434" s="195" t="s">
        <v>529</v>
      </c>
      <c r="AT434" s="195" t="s">
        <v>527</v>
      </c>
      <c r="AU434" s="195" t="s">
        <v>530</v>
      </c>
      <c r="AV434" s="195" t="s">
        <v>522</v>
      </c>
      <c r="AW434" s="195" t="s">
        <v>525</v>
      </c>
      <c r="AX434" s="195" t="s">
        <v>526</v>
      </c>
      <c r="AZ434"/>
      <c r="BA434"/>
      <c r="BB434"/>
      <c r="BC434"/>
      <c r="BD434"/>
      <c r="BE434"/>
      <c r="BF434" s="152"/>
      <c r="BG434" s="152"/>
    </row>
    <row r="435" spans="1:59" s="90" customFormat="1" ht="14.25" customHeight="1" x14ac:dyDescent="0.2">
      <c r="A435" s="127"/>
      <c r="B435"/>
      <c r="C435" s="134"/>
      <c r="D435"/>
      <c r="E435"/>
      <c r="F435"/>
      <c r="G435"/>
      <c r="H435"/>
      <c r="I435"/>
      <c r="J435"/>
      <c r="K435"/>
      <c r="L435"/>
      <c r="M435"/>
      <c r="N435"/>
      <c r="O435"/>
      <c r="P435"/>
      <c r="Q435"/>
      <c r="R435"/>
      <c r="S435"/>
      <c r="T435"/>
      <c r="U435"/>
      <c r="V435"/>
      <c r="W435"/>
      <c r="X435" s="66"/>
      <c r="Y435" s="4"/>
      <c r="Z435" s="4"/>
      <c r="AA435" s="4"/>
      <c r="AB435" s="4"/>
      <c r="AC435" s="4"/>
      <c r="AD435" s="4"/>
      <c r="AE435" s="4"/>
      <c r="AF435" s="4"/>
      <c r="AG435"/>
      <c r="AH435"/>
      <c r="AI435"/>
      <c r="AJ435"/>
      <c r="AK435"/>
      <c r="AL435"/>
      <c r="AM435"/>
      <c r="AN435"/>
      <c r="AO435" s="148">
        <f t="shared" si="164"/>
        <v>8.9292000000000016</v>
      </c>
      <c r="AP435" s="195">
        <v>322</v>
      </c>
      <c r="AQ435" s="195" t="s">
        <v>523</v>
      </c>
      <c r="AR435" s="195" t="s">
        <v>521</v>
      </c>
      <c r="AS435" s="195" t="s">
        <v>529</v>
      </c>
      <c r="AT435" s="195" t="s">
        <v>527</v>
      </c>
      <c r="AU435" s="195" t="s">
        <v>530</v>
      </c>
      <c r="AV435" s="195" t="s">
        <v>522</v>
      </c>
      <c r="AW435" s="195" t="s">
        <v>525</v>
      </c>
      <c r="AX435" s="195" t="s">
        <v>526</v>
      </c>
      <c r="AZ435"/>
      <c r="BA435"/>
      <c r="BB435"/>
      <c r="BC435"/>
      <c r="BD435"/>
      <c r="BE435"/>
      <c r="BF435" s="152"/>
      <c r="BG435" s="152"/>
    </row>
    <row r="436" spans="1:59" s="90" customFormat="1" ht="14.25" customHeight="1" x14ac:dyDescent="0.2">
      <c r="A436" s="127"/>
      <c r="B436"/>
      <c r="C436" s="134"/>
      <c r="D436"/>
      <c r="E436"/>
      <c r="F436"/>
      <c r="G436"/>
      <c r="H436"/>
      <c r="I436"/>
      <c r="J436"/>
      <c r="K436"/>
      <c r="L436"/>
      <c r="M436"/>
      <c r="N436"/>
      <c r="O436"/>
      <c r="P436"/>
      <c r="Q436"/>
      <c r="R436"/>
      <c r="S436"/>
      <c r="T436"/>
      <c r="U436"/>
      <c r="V436"/>
      <c r="W436"/>
      <c r="X436" s="66"/>
      <c r="Y436" s="4"/>
      <c r="Z436" s="4"/>
      <c r="AA436" s="4"/>
      <c r="AB436" s="4"/>
      <c r="AC436" s="4"/>
      <c r="AD436" s="4"/>
      <c r="AE436" s="4"/>
      <c r="AF436" s="4"/>
      <c r="AG436"/>
      <c r="AH436"/>
      <c r="AI436"/>
      <c r="AJ436"/>
      <c r="AK436"/>
      <c r="AL436"/>
      <c r="AM436"/>
      <c r="AN436"/>
      <c r="AO436" s="148">
        <f t="shared" si="164"/>
        <v>8.9274000000000004</v>
      </c>
      <c r="AP436" s="195">
        <v>323</v>
      </c>
      <c r="AQ436" s="195" t="s">
        <v>523</v>
      </c>
      <c r="AR436" s="195" t="s">
        <v>520</v>
      </c>
      <c r="AS436" s="195" t="s">
        <v>529</v>
      </c>
      <c r="AT436" s="195" t="s">
        <v>527</v>
      </c>
      <c r="AU436" s="195" t="s">
        <v>530</v>
      </c>
      <c r="AV436" s="195" t="s">
        <v>522</v>
      </c>
      <c r="AW436" s="195" t="s">
        <v>525</v>
      </c>
      <c r="AX436" s="195" t="s">
        <v>521</v>
      </c>
      <c r="AZ436"/>
      <c r="BA436"/>
      <c r="BB436"/>
      <c r="BC436"/>
      <c r="BD436"/>
      <c r="BE436"/>
      <c r="BF436" s="152"/>
      <c r="BG436" s="152"/>
    </row>
    <row r="437" spans="1:59" s="90" customFormat="1" ht="14.25" customHeight="1" x14ac:dyDescent="0.2">
      <c r="A437" s="127"/>
      <c r="B437"/>
      <c r="C437" s="134"/>
      <c r="D437"/>
      <c r="E437"/>
      <c r="F437"/>
      <c r="G437"/>
      <c r="H437"/>
      <c r="I437"/>
      <c r="J437"/>
      <c r="K437"/>
      <c r="L437"/>
      <c r="M437"/>
      <c r="N437"/>
      <c r="O437"/>
      <c r="P437"/>
      <c r="Q437"/>
      <c r="R437"/>
      <c r="S437"/>
      <c r="T437"/>
      <c r="U437"/>
      <c r="V437"/>
      <c r="W437"/>
      <c r="X437" s="66"/>
      <c r="Y437" s="4"/>
      <c r="Z437" s="4"/>
      <c r="AA437" s="4"/>
      <c r="AB437" s="4"/>
      <c r="AC437" s="4"/>
      <c r="AD437" s="4"/>
      <c r="AE437" s="4"/>
      <c r="AF437" s="4"/>
      <c r="AG437"/>
      <c r="AH437"/>
      <c r="AI437"/>
      <c r="AJ437"/>
      <c r="AK437"/>
      <c r="AL437"/>
      <c r="AM437"/>
      <c r="AN437"/>
      <c r="AO437" s="148">
        <f t="shared" si="164"/>
        <v>8.9286999999999992</v>
      </c>
      <c r="AP437" s="195">
        <v>324</v>
      </c>
      <c r="AQ437" s="195" t="s">
        <v>523</v>
      </c>
      <c r="AR437" s="195" t="s">
        <v>520</v>
      </c>
      <c r="AS437" s="195" t="s">
        <v>529</v>
      </c>
      <c r="AT437" s="195" t="s">
        <v>527</v>
      </c>
      <c r="AU437" s="195" t="s">
        <v>530</v>
      </c>
      <c r="AV437" s="195" t="s">
        <v>522</v>
      </c>
      <c r="AW437" s="195" t="s">
        <v>521</v>
      </c>
      <c r="AX437" s="195" t="s">
        <v>526</v>
      </c>
      <c r="AZ437"/>
      <c r="BA437"/>
      <c r="BB437"/>
      <c r="BC437"/>
      <c r="BD437"/>
      <c r="BE437"/>
      <c r="BF437" s="152"/>
      <c r="BG437" s="152"/>
    </row>
    <row r="438" spans="1:59" s="90" customFormat="1" ht="14.25" customHeight="1" x14ac:dyDescent="0.2">
      <c r="A438" s="127"/>
      <c r="B438"/>
      <c r="C438" s="134"/>
      <c r="D438"/>
      <c r="E438"/>
      <c r="F438"/>
      <c r="G438"/>
      <c r="H438"/>
      <c r="I438"/>
      <c r="J438"/>
      <c r="K438"/>
      <c r="L438"/>
      <c r="M438"/>
      <c r="N438"/>
      <c r="O438"/>
      <c r="P438"/>
      <c r="Q438"/>
      <c r="R438"/>
      <c r="S438"/>
      <c r="T438"/>
      <c r="U438"/>
      <c r="V438"/>
      <c r="W438"/>
      <c r="X438" s="66"/>
      <c r="Y438" s="4"/>
      <c r="Z438" s="4"/>
      <c r="AA438" s="4"/>
      <c r="AB438" s="4"/>
      <c r="AC438" s="4"/>
      <c r="AD438" s="4"/>
      <c r="AE438" s="4"/>
      <c r="AF438" s="4"/>
      <c r="AG438"/>
      <c r="AH438"/>
      <c r="AI438"/>
      <c r="AJ438"/>
      <c r="AK438"/>
      <c r="AL438"/>
      <c r="AM438"/>
      <c r="AN438"/>
      <c r="AO438" s="148">
        <f t="shared" si="164"/>
        <v>8.9256999999999991</v>
      </c>
      <c r="AP438" s="195">
        <v>325</v>
      </c>
      <c r="AQ438" s="195" t="s">
        <v>522</v>
      </c>
      <c r="AR438" s="195" t="s">
        <v>520</v>
      </c>
      <c r="AS438" s="195" t="s">
        <v>529</v>
      </c>
      <c r="AT438" s="195" t="s">
        <v>527</v>
      </c>
      <c r="AU438" s="195" t="s">
        <v>530</v>
      </c>
      <c r="AV438" s="195" t="s">
        <v>524</v>
      </c>
      <c r="AW438" s="195" t="s">
        <v>525</v>
      </c>
      <c r="AX438" s="195" t="s">
        <v>526</v>
      </c>
      <c r="AZ438"/>
      <c r="BA438"/>
      <c r="BB438"/>
      <c r="BC438"/>
      <c r="BD438"/>
      <c r="BE438"/>
      <c r="BF438" s="152"/>
      <c r="BG438" s="152"/>
    </row>
    <row r="439" spans="1:59" s="90" customFormat="1" ht="14.25" customHeight="1" x14ac:dyDescent="0.2">
      <c r="A439" s="127"/>
      <c r="B439"/>
      <c r="C439" s="134"/>
      <c r="D439"/>
      <c r="E439"/>
      <c r="F439"/>
      <c r="G439"/>
      <c r="H439"/>
      <c r="I439"/>
      <c r="J439"/>
      <c r="K439"/>
      <c r="L439"/>
      <c r="M439"/>
      <c r="N439"/>
      <c r="O439"/>
      <c r="P439"/>
      <c r="Q439"/>
      <c r="R439"/>
      <c r="S439"/>
      <c r="T439"/>
      <c r="U439"/>
      <c r="V439"/>
      <c r="W439"/>
      <c r="X439" s="66"/>
      <c r="Y439" s="4"/>
      <c r="Z439" s="4"/>
      <c r="AA439" s="4"/>
      <c r="AB439" s="4"/>
      <c r="AC439" s="4"/>
      <c r="AD439" s="4"/>
      <c r="AE439" s="4"/>
      <c r="AF439" s="4"/>
      <c r="AG439"/>
      <c r="AH439"/>
      <c r="AI439"/>
      <c r="AJ439"/>
      <c r="AK439"/>
      <c r="AL439"/>
      <c r="AM439"/>
      <c r="AN439"/>
      <c r="AO439" s="148">
        <f t="shared" si="164"/>
        <v>8.9260000000000019</v>
      </c>
      <c r="AP439" s="195">
        <v>326</v>
      </c>
      <c r="AQ439" s="195" t="s">
        <v>521</v>
      </c>
      <c r="AR439" s="195" t="s">
        <v>524</v>
      </c>
      <c r="AS439" s="195" t="s">
        <v>529</v>
      </c>
      <c r="AT439" s="195" t="s">
        <v>527</v>
      </c>
      <c r="AU439" s="195" t="s">
        <v>530</v>
      </c>
      <c r="AV439" s="195" t="s">
        <v>522</v>
      </c>
      <c r="AW439" s="195" t="s">
        <v>525</v>
      </c>
      <c r="AX439" s="195" t="s">
        <v>526</v>
      </c>
      <c r="AZ439"/>
      <c r="BA439"/>
      <c r="BB439"/>
      <c r="BC439"/>
      <c r="BD439"/>
      <c r="BE439"/>
      <c r="BF439" s="152"/>
      <c r="BG439" s="152"/>
    </row>
    <row r="440" spans="1:59" s="90" customFormat="1" ht="14.25" customHeight="1" x14ac:dyDescent="0.2">
      <c r="A440" s="127"/>
      <c r="B440"/>
      <c r="C440" s="134"/>
      <c r="D440"/>
      <c r="E440"/>
      <c r="F440"/>
      <c r="G440"/>
      <c r="H440"/>
      <c r="I440"/>
      <c r="J440"/>
      <c r="K440"/>
      <c r="L440"/>
      <c r="M440"/>
      <c r="N440"/>
      <c r="O440"/>
      <c r="P440"/>
      <c r="Q440"/>
      <c r="R440"/>
      <c r="S440"/>
      <c r="T440"/>
      <c r="U440"/>
      <c r="V440"/>
      <c r="W440"/>
      <c r="X440" s="66"/>
      <c r="Y440" s="4"/>
      <c r="Z440" s="4"/>
      <c r="AA440" s="4"/>
      <c r="AB440" s="4"/>
      <c r="AC440" s="4"/>
      <c r="AD440" s="4"/>
      <c r="AE440" s="4"/>
      <c r="AF440" s="4"/>
      <c r="AG440"/>
      <c r="AH440"/>
      <c r="AI440"/>
      <c r="AJ440"/>
      <c r="AK440"/>
      <c r="AL440"/>
      <c r="AM440"/>
      <c r="AN440"/>
      <c r="AO440" s="148">
        <f t="shared" si="164"/>
        <v>8.9242000000000008</v>
      </c>
      <c r="AP440" s="195">
        <v>327</v>
      </c>
      <c r="AQ440" s="195" t="s">
        <v>522</v>
      </c>
      <c r="AR440" s="195" t="s">
        <v>520</v>
      </c>
      <c r="AS440" s="195" t="s">
        <v>529</v>
      </c>
      <c r="AT440" s="195" t="s">
        <v>527</v>
      </c>
      <c r="AU440" s="195" t="s">
        <v>530</v>
      </c>
      <c r="AV440" s="195" t="s">
        <v>524</v>
      </c>
      <c r="AW440" s="195" t="s">
        <v>525</v>
      </c>
      <c r="AX440" s="195" t="s">
        <v>521</v>
      </c>
      <c r="AZ440"/>
      <c r="BA440"/>
      <c r="BB440"/>
      <c r="BC440"/>
      <c r="BD440"/>
      <c r="BE440"/>
      <c r="BF440" s="152"/>
      <c r="BG440" s="152"/>
    </row>
    <row r="441" spans="1:59" s="90" customFormat="1" ht="14.25" customHeight="1" x14ac:dyDescent="0.2">
      <c r="A441" s="127"/>
      <c r="B441"/>
      <c r="C441" s="134"/>
      <c r="D441"/>
      <c r="E441"/>
      <c r="F441"/>
      <c r="G441"/>
      <c r="H441"/>
      <c r="I441"/>
      <c r="J441"/>
      <c r="K441"/>
      <c r="L441"/>
      <c r="M441"/>
      <c r="N441"/>
      <c r="O441"/>
      <c r="P441"/>
      <c r="Q441"/>
      <c r="R441"/>
      <c r="S441"/>
      <c r="T441"/>
      <c r="U441"/>
      <c r="V441"/>
      <c r="W441"/>
      <c r="X441" s="66"/>
      <c r="Y441" s="4"/>
      <c r="Z441" s="4"/>
      <c r="AA441" s="4"/>
      <c r="AB441" s="4"/>
      <c r="AC441" s="4"/>
      <c r="AD441" s="4"/>
      <c r="AE441" s="4"/>
      <c r="AF441" s="4"/>
      <c r="AG441"/>
      <c r="AH441"/>
      <c r="AI441"/>
      <c r="AJ441"/>
      <c r="AK441"/>
      <c r="AL441"/>
      <c r="AM441"/>
      <c r="AN441"/>
      <c r="AO441" s="148">
        <f t="shared" si="164"/>
        <v>8.9254999999999995</v>
      </c>
      <c r="AP441" s="195">
        <v>328</v>
      </c>
      <c r="AQ441" s="195" t="s">
        <v>522</v>
      </c>
      <c r="AR441" s="195" t="s">
        <v>520</v>
      </c>
      <c r="AS441" s="195" t="s">
        <v>529</v>
      </c>
      <c r="AT441" s="195" t="s">
        <v>527</v>
      </c>
      <c r="AU441" s="195" t="s">
        <v>530</v>
      </c>
      <c r="AV441" s="195" t="s">
        <v>524</v>
      </c>
      <c r="AW441" s="195" t="s">
        <v>521</v>
      </c>
      <c r="AX441" s="195" t="s">
        <v>526</v>
      </c>
      <c r="AZ441"/>
      <c r="BA441"/>
      <c r="BB441"/>
      <c r="BC441"/>
      <c r="BD441"/>
      <c r="BE441"/>
      <c r="BF441" s="152"/>
      <c r="BG441" s="152"/>
    </row>
    <row r="442" spans="1:59" s="90" customFormat="1" ht="14.25" customHeight="1" x14ac:dyDescent="0.2">
      <c r="A442" s="127"/>
      <c r="B442"/>
      <c r="C442" s="134"/>
      <c r="D442"/>
      <c r="E442"/>
      <c r="F442"/>
      <c r="G442"/>
      <c r="H442"/>
      <c r="I442"/>
      <c r="J442"/>
      <c r="K442"/>
      <c r="L442"/>
      <c r="M442"/>
      <c r="N442"/>
      <c r="O442"/>
      <c r="P442"/>
      <c r="Q442"/>
      <c r="R442"/>
      <c r="S442"/>
      <c r="T442"/>
      <c r="U442"/>
      <c r="V442"/>
      <c r="W442"/>
      <c r="X442" s="66"/>
      <c r="Y442" s="4"/>
      <c r="Z442" s="4"/>
      <c r="AA442" s="4"/>
      <c r="AB442" s="4"/>
      <c r="AC442" s="4"/>
      <c r="AD442" s="4"/>
      <c r="AE442" s="4"/>
      <c r="AF442" s="4"/>
      <c r="AG442"/>
      <c r="AH442"/>
      <c r="AI442"/>
      <c r="AJ442"/>
      <c r="AK442"/>
      <c r="AL442"/>
      <c r="AM442"/>
      <c r="AN442"/>
      <c r="AO442" s="148">
        <f t="shared" si="164"/>
        <v>8.929000000000002</v>
      </c>
      <c r="AP442" s="195">
        <v>329</v>
      </c>
      <c r="AQ442" s="195" t="s">
        <v>523</v>
      </c>
      <c r="AR442" s="195" t="s">
        <v>524</v>
      </c>
      <c r="AS442" s="195" t="s">
        <v>529</v>
      </c>
      <c r="AT442" s="195" t="s">
        <v>527</v>
      </c>
      <c r="AU442" s="195" t="s">
        <v>530</v>
      </c>
      <c r="AV442" s="195" t="s">
        <v>522</v>
      </c>
      <c r="AW442" s="195" t="s">
        <v>525</v>
      </c>
      <c r="AX442" s="195" t="s">
        <v>526</v>
      </c>
      <c r="AZ442"/>
      <c r="BA442"/>
      <c r="BB442"/>
      <c r="BC442"/>
      <c r="BD442"/>
      <c r="BE442"/>
      <c r="BF442" s="152"/>
      <c r="BG442" s="152"/>
    </row>
    <row r="443" spans="1:59" s="90" customFormat="1" ht="14.25" customHeight="1" x14ac:dyDescent="0.2">
      <c r="A443" s="127"/>
      <c r="B443"/>
      <c r="C443" s="134"/>
      <c r="D443"/>
      <c r="E443"/>
      <c r="F443"/>
      <c r="G443"/>
      <c r="H443"/>
      <c r="I443"/>
      <c r="J443"/>
      <c r="K443"/>
      <c r="L443"/>
      <c r="M443"/>
      <c r="N443"/>
      <c r="O443"/>
      <c r="P443"/>
      <c r="Q443"/>
      <c r="R443"/>
      <c r="S443"/>
      <c r="T443"/>
      <c r="U443"/>
      <c r="V443"/>
      <c r="W443"/>
      <c r="X443" s="66"/>
      <c r="Y443" s="4"/>
      <c r="Z443" s="4"/>
      <c r="AA443" s="4"/>
      <c r="AB443" s="4"/>
      <c r="AC443" s="4"/>
      <c r="AD443" s="4"/>
      <c r="AE443" s="4"/>
      <c r="AF443" s="4"/>
      <c r="AG443"/>
      <c r="AH443"/>
      <c r="AI443"/>
      <c r="AJ443"/>
      <c r="AK443"/>
      <c r="AL443"/>
      <c r="AM443"/>
      <c r="AN443"/>
      <c r="AO443" s="148">
        <f t="shared" si="164"/>
        <v>8.9272000000000009</v>
      </c>
      <c r="AP443" s="195">
        <v>330</v>
      </c>
      <c r="AQ443" s="195" t="s">
        <v>523</v>
      </c>
      <c r="AR443" s="195" t="s">
        <v>524</v>
      </c>
      <c r="AS443" s="195" t="s">
        <v>529</v>
      </c>
      <c r="AT443" s="195" t="s">
        <v>527</v>
      </c>
      <c r="AU443" s="195" t="s">
        <v>530</v>
      </c>
      <c r="AV443" s="195" t="s">
        <v>522</v>
      </c>
      <c r="AW443" s="195" t="s">
        <v>525</v>
      </c>
      <c r="AX443" s="195" t="s">
        <v>520</v>
      </c>
      <c r="AZ443"/>
      <c r="BA443"/>
      <c r="BB443"/>
      <c r="BC443"/>
      <c r="BD443"/>
      <c r="BE443"/>
      <c r="BF443" s="152"/>
      <c r="BG443" s="152"/>
    </row>
    <row r="444" spans="1:59" s="90" customFormat="1" ht="14.25" customHeight="1" x14ac:dyDescent="0.2">
      <c r="A444" s="127"/>
      <c r="B444"/>
      <c r="C444" s="134"/>
      <c r="D444"/>
      <c r="E444"/>
      <c r="F444"/>
      <c r="G444"/>
      <c r="H444"/>
      <c r="I444"/>
      <c r="J444"/>
      <c r="K444"/>
      <c r="L444"/>
      <c r="M444"/>
      <c r="N444"/>
      <c r="O444"/>
      <c r="P444"/>
      <c r="Q444"/>
      <c r="R444"/>
      <c r="S444"/>
      <c r="T444"/>
      <c r="U444"/>
      <c r="V444"/>
      <c r="W444"/>
      <c r="X444" s="66"/>
      <c r="Y444" s="4"/>
      <c r="Z444" s="4"/>
      <c r="AA444" s="4"/>
      <c r="AB444" s="4"/>
      <c r="AC444" s="4"/>
      <c r="AD444" s="4"/>
      <c r="AE444" s="4"/>
      <c r="AF444" s="4"/>
      <c r="AG444"/>
      <c r="AH444"/>
      <c r="AI444"/>
      <c r="AJ444"/>
      <c r="AK444"/>
      <c r="AL444"/>
      <c r="AM444"/>
      <c r="AN444"/>
      <c r="AO444" s="148">
        <f t="shared" si="164"/>
        <v>8.9284999999999997</v>
      </c>
      <c r="AP444" s="195">
        <v>331</v>
      </c>
      <c r="AQ444" s="195" t="s">
        <v>523</v>
      </c>
      <c r="AR444" s="195" t="s">
        <v>524</v>
      </c>
      <c r="AS444" s="195" t="s">
        <v>529</v>
      </c>
      <c r="AT444" s="195" t="s">
        <v>527</v>
      </c>
      <c r="AU444" s="195" t="s">
        <v>530</v>
      </c>
      <c r="AV444" s="195" t="s">
        <v>522</v>
      </c>
      <c r="AW444" s="195" t="s">
        <v>520</v>
      </c>
      <c r="AX444" s="195" t="s">
        <v>526</v>
      </c>
      <c r="AZ444"/>
      <c r="BA444"/>
      <c r="BB444"/>
      <c r="BC444"/>
      <c r="BD444"/>
      <c r="BE444"/>
      <c r="BF444" s="152"/>
      <c r="BG444" s="152"/>
    </row>
    <row r="445" spans="1:59" s="90" customFormat="1" ht="14.25" customHeight="1" x14ac:dyDescent="0.2">
      <c r="A445" s="127"/>
      <c r="B445"/>
      <c r="C445" s="134"/>
      <c r="D445"/>
      <c r="E445"/>
      <c r="F445"/>
      <c r="G445"/>
      <c r="H445"/>
      <c r="I445"/>
      <c r="J445"/>
      <c r="K445"/>
      <c r="L445"/>
      <c r="M445"/>
      <c r="N445"/>
      <c r="O445"/>
      <c r="P445"/>
      <c r="Q445"/>
      <c r="R445"/>
      <c r="S445"/>
      <c r="T445"/>
      <c r="U445"/>
      <c r="V445"/>
      <c r="W445"/>
      <c r="X445" s="66"/>
      <c r="Y445" s="4"/>
      <c r="Z445" s="4"/>
      <c r="AA445" s="4"/>
      <c r="AB445" s="4"/>
      <c r="AC445" s="4"/>
      <c r="AD445" s="4"/>
      <c r="AE445" s="4"/>
      <c r="AF445" s="4"/>
      <c r="AG445"/>
      <c r="AH445"/>
      <c r="AI445"/>
      <c r="AJ445"/>
      <c r="AK445"/>
      <c r="AL445"/>
      <c r="AM445"/>
      <c r="AN445"/>
      <c r="AO445" s="148">
        <f t="shared" si="164"/>
        <v>8.927500000000002</v>
      </c>
      <c r="AP445" s="195">
        <v>332</v>
      </c>
      <c r="AQ445" s="195" t="s">
        <v>523</v>
      </c>
      <c r="AR445" s="195" t="s">
        <v>524</v>
      </c>
      <c r="AS445" s="195" t="s">
        <v>529</v>
      </c>
      <c r="AT445" s="195" t="s">
        <v>527</v>
      </c>
      <c r="AU445" s="195" t="s">
        <v>530</v>
      </c>
      <c r="AV445" s="195" t="s">
        <v>522</v>
      </c>
      <c r="AW445" s="195" t="s">
        <v>525</v>
      </c>
      <c r="AX445" s="195" t="s">
        <v>521</v>
      </c>
      <c r="AZ445"/>
      <c r="BA445"/>
      <c r="BB445"/>
      <c r="BC445"/>
      <c r="BD445"/>
      <c r="BE445"/>
      <c r="BF445" s="152"/>
      <c r="BG445" s="152"/>
    </row>
    <row r="446" spans="1:59" s="90" customFormat="1" ht="14.25" customHeight="1" x14ac:dyDescent="0.2">
      <c r="A446" s="127"/>
      <c r="B446"/>
      <c r="C446" s="134"/>
      <c r="D446"/>
      <c r="E446"/>
      <c r="F446"/>
      <c r="G446"/>
      <c r="H446"/>
      <c r="I446"/>
      <c r="J446"/>
      <c r="K446"/>
      <c r="L446"/>
      <c r="M446"/>
      <c r="N446"/>
      <c r="O446"/>
      <c r="P446"/>
      <c r="Q446"/>
      <c r="R446"/>
      <c r="S446"/>
      <c r="T446"/>
      <c r="U446"/>
      <c r="V446"/>
      <c r="W446"/>
      <c r="X446" s="66"/>
      <c r="Y446" s="4"/>
      <c r="Z446" s="4"/>
      <c r="AA446" s="4"/>
      <c r="AB446" s="4"/>
      <c r="AC446" s="4"/>
      <c r="AD446" s="4"/>
      <c r="AE446" s="4"/>
      <c r="AF446" s="4"/>
      <c r="AG446"/>
      <c r="AH446"/>
      <c r="AI446"/>
      <c r="AJ446"/>
      <c r="AK446"/>
      <c r="AL446"/>
      <c r="AM446"/>
      <c r="AN446"/>
      <c r="AO446" s="148">
        <f t="shared" si="164"/>
        <v>8.9288000000000007</v>
      </c>
      <c r="AP446" s="195">
        <v>333</v>
      </c>
      <c r="AQ446" s="195" t="s">
        <v>523</v>
      </c>
      <c r="AR446" s="195" t="s">
        <v>524</v>
      </c>
      <c r="AS446" s="195" t="s">
        <v>529</v>
      </c>
      <c r="AT446" s="195" t="s">
        <v>527</v>
      </c>
      <c r="AU446" s="195" t="s">
        <v>530</v>
      </c>
      <c r="AV446" s="195" t="s">
        <v>522</v>
      </c>
      <c r="AW446" s="195" t="s">
        <v>521</v>
      </c>
      <c r="AX446" s="195" t="s">
        <v>526</v>
      </c>
      <c r="AZ446"/>
      <c r="BA446"/>
      <c r="BB446"/>
      <c r="BC446"/>
      <c r="BD446"/>
      <c r="BE446"/>
      <c r="BF446" s="152"/>
      <c r="BG446" s="152"/>
    </row>
    <row r="447" spans="1:59" s="90" customFormat="1" ht="14.25" customHeight="1" x14ac:dyDescent="0.2">
      <c r="A447" s="127"/>
      <c r="B447"/>
      <c r="C447" s="134"/>
      <c r="D447"/>
      <c r="E447"/>
      <c r="F447"/>
      <c r="G447"/>
      <c r="H447"/>
      <c r="I447"/>
      <c r="J447"/>
      <c r="K447"/>
      <c r="L447"/>
      <c r="M447"/>
      <c r="N447"/>
      <c r="O447"/>
      <c r="P447"/>
      <c r="Q447"/>
      <c r="R447"/>
      <c r="S447"/>
      <c r="T447"/>
      <c r="U447"/>
      <c r="V447"/>
      <c r="W447"/>
      <c r="X447" s="66"/>
      <c r="Y447" s="4"/>
      <c r="Z447" s="4"/>
      <c r="AA447" s="4"/>
      <c r="AB447" s="4"/>
      <c r="AC447" s="4"/>
      <c r="AD447" s="4"/>
      <c r="AE447" s="4"/>
      <c r="AF447" s="4"/>
      <c r="AG447"/>
      <c r="AH447"/>
      <c r="AI447"/>
      <c r="AJ447"/>
      <c r="AK447"/>
      <c r="AL447"/>
      <c r="AM447"/>
      <c r="AN447"/>
      <c r="AO447" s="148">
        <f t="shared" si="164"/>
        <v>8.9270000000000014</v>
      </c>
      <c r="AP447" s="195">
        <v>334</v>
      </c>
      <c r="AQ447" s="195" t="s">
        <v>523</v>
      </c>
      <c r="AR447" s="195" t="s">
        <v>524</v>
      </c>
      <c r="AS447" s="195" t="s">
        <v>529</v>
      </c>
      <c r="AT447" s="195" t="s">
        <v>527</v>
      </c>
      <c r="AU447" s="195" t="s">
        <v>530</v>
      </c>
      <c r="AV447" s="195" t="s">
        <v>522</v>
      </c>
      <c r="AW447" s="195" t="s">
        <v>521</v>
      </c>
      <c r="AX447" s="195" t="s">
        <v>520</v>
      </c>
      <c r="AZ447"/>
      <c r="BA447"/>
      <c r="BB447"/>
      <c r="BC447"/>
      <c r="BD447"/>
      <c r="BE447"/>
      <c r="BF447" s="152"/>
      <c r="BG447" s="152"/>
    </row>
    <row r="448" spans="1:59" s="90" customFormat="1" ht="14.25" customHeight="1" x14ac:dyDescent="0.2">
      <c r="A448" s="127"/>
      <c r="B448"/>
      <c r="C448" s="134"/>
      <c r="D448"/>
      <c r="E448"/>
      <c r="F448"/>
      <c r="G448"/>
      <c r="H448"/>
      <c r="I448"/>
      <c r="J448"/>
      <c r="K448"/>
      <c r="L448"/>
      <c r="M448"/>
      <c r="N448"/>
      <c r="O448"/>
      <c r="P448"/>
      <c r="Q448"/>
      <c r="R448"/>
      <c r="S448"/>
      <c r="T448"/>
      <c r="U448"/>
      <c r="V448"/>
      <c r="W448"/>
      <c r="X448" s="66"/>
      <c r="Y448" s="4"/>
      <c r="Z448" s="4"/>
      <c r="AA448" s="4"/>
      <c r="AB448" s="4"/>
      <c r="AC448" s="4"/>
      <c r="AD448" s="4"/>
      <c r="AE448" s="4"/>
      <c r="AF448" s="4"/>
      <c r="AG448"/>
      <c r="AH448"/>
      <c r="AI448"/>
      <c r="AJ448"/>
      <c r="AK448"/>
      <c r="AL448"/>
      <c r="AM448"/>
      <c r="AN448"/>
      <c r="AO448" s="148">
        <f t="shared" si="164"/>
        <v>8.9254999999999995</v>
      </c>
      <c r="AP448" s="195">
        <v>335</v>
      </c>
      <c r="AQ448" s="195" t="s">
        <v>519</v>
      </c>
      <c r="AR448" s="195" t="s">
        <v>520</v>
      </c>
      <c r="AS448" s="195" t="s">
        <v>529</v>
      </c>
      <c r="AT448" s="195" t="s">
        <v>530</v>
      </c>
      <c r="AU448" s="195" t="s">
        <v>521</v>
      </c>
      <c r="AV448" s="195" t="s">
        <v>527</v>
      </c>
      <c r="AW448" s="195" t="s">
        <v>525</v>
      </c>
      <c r="AX448" s="195" t="s">
        <v>526</v>
      </c>
      <c r="AZ448"/>
      <c r="BA448"/>
      <c r="BB448"/>
      <c r="BC448"/>
      <c r="BD448"/>
      <c r="BE448"/>
      <c r="BF448" s="152"/>
      <c r="BG448" s="152"/>
    </row>
    <row r="449" spans="1:59" s="90" customFormat="1" ht="14.25" customHeight="1" x14ac:dyDescent="0.2">
      <c r="A449" s="127"/>
      <c r="B449"/>
      <c r="C449" s="134"/>
      <c r="D449"/>
      <c r="E449"/>
      <c r="F449"/>
      <c r="G449"/>
      <c r="H449"/>
      <c r="I449"/>
      <c r="J449"/>
      <c r="K449"/>
      <c r="L449"/>
      <c r="M449"/>
      <c r="N449"/>
      <c r="O449"/>
      <c r="P449"/>
      <c r="Q449"/>
      <c r="R449"/>
      <c r="S449"/>
      <c r="T449"/>
      <c r="U449"/>
      <c r="V449"/>
      <c r="W449"/>
      <c r="X449" s="66"/>
      <c r="Y449" s="4"/>
      <c r="Z449" s="4"/>
      <c r="AA449" s="4"/>
      <c r="AB449" s="4"/>
      <c r="AC449" s="4"/>
      <c r="AD449" s="4"/>
      <c r="AE449" s="4"/>
      <c r="AF449" s="4"/>
      <c r="AG449"/>
      <c r="AH449"/>
      <c r="AI449"/>
      <c r="AJ449"/>
      <c r="AK449"/>
      <c r="AL449"/>
      <c r="AM449"/>
      <c r="AN449"/>
      <c r="AO449" s="148">
        <f t="shared" si="164"/>
        <v>8.9285000000000014</v>
      </c>
      <c r="AP449" s="195">
        <v>336</v>
      </c>
      <c r="AQ449" s="195" t="s">
        <v>519</v>
      </c>
      <c r="AR449" s="195" t="s">
        <v>520</v>
      </c>
      <c r="AS449" s="195" t="s">
        <v>529</v>
      </c>
      <c r="AT449" s="195" t="s">
        <v>527</v>
      </c>
      <c r="AU449" s="195" t="s">
        <v>530</v>
      </c>
      <c r="AV449" s="195" t="s">
        <v>523</v>
      </c>
      <c r="AW449" s="195" t="s">
        <v>525</v>
      </c>
      <c r="AX449" s="195" t="s">
        <v>526</v>
      </c>
      <c r="AZ449"/>
      <c r="BA449"/>
      <c r="BB449"/>
      <c r="BC449"/>
      <c r="BD449"/>
      <c r="BE449"/>
      <c r="BF449" s="152"/>
      <c r="BG449" s="152"/>
    </row>
    <row r="450" spans="1:59" s="90" customFormat="1" ht="14.25" customHeight="1" x14ac:dyDescent="0.2">
      <c r="A450" s="127"/>
      <c r="B450"/>
      <c r="C450" s="134"/>
      <c r="D450"/>
      <c r="E450"/>
      <c r="F450"/>
      <c r="G450"/>
      <c r="H450"/>
      <c r="I450"/>
      <c r="J450"/>
      <c r="K450"/>
      <c r="L450"/>
      <c r="M450"/>
      <c r="N450"/>
      <c r="O450"/>
      <c r="P450"/>
      <c r="Q450"/>
      <c r="R450"/>
      <c r="S450"/>
      <c r="T450"/>
      <c r="U450"/>
      <c r="V450"/>
      <c r="W450"/>
      <c r="X450" s="66"/>
      <c r="Y450" s="4"/>
      <c r="Z450" s="4"/>
      <c r="AA450" s="4"/>
      <c r="AB450" s="4"/>
      <c r="AC450" s="4"/>
      <c r="AD450" s="4"/>
      <c r="AE450" s="4"/>
      <c r="AF450" s="4"/>
      <c r="AG450"/>
      <c r="AH450"/>
      <c r="AI450"/>
      <c r="AJ450"/>
      <c r="AK450"/>
      <c r="AL450"/>
      <c r="AM450"/>
      <c r="AN450"/>
      <c r="AO450" s="148">
        <f t="shared" si="164"/>
        <v>8.9288000000000007</v>
      </c>
      <c r="AP450" s="195">
        <v>337</v>
      </c>
      <c r="AQ450" s="195" t="s">
        <v>519</v>
      </c>
      <c r="AR450" s="195" t="s">
        <v>521</v>
      </c>
      <c r="AS450" s="195" t="s">
        <v>529</v>
      </c>
      <c r="AT450" s="195" t="s">
        <v>527</v>
      </c>
      <c r="AU450" s="195" t="s">
        <v>530</v>
      </c>
      <c r="AV450" s="195" t="s">
        <v>523</v>
      </c>
      <c r="AW450" s="195" t="s">
        <v>525</v>
      </c>
      <c r="AX450" s="195" t="s">
        <v>526</v>
      </c>
      <c r="AZ450"/>
      <c r="BA450"/>
      <c r="BB450"/>
      <c r="BC450"/>
      <c r="BD450"/>
      <c r="BE450"/>
      <c r="BF450" s="152"/>
      <c r="BG450" s="152"/>
    </row>
    <row r="451" spans="1:59" s="90" customFormat="1" ht="14.25" customHeight="1" x14ac:dyDescent="0.2">
      <c r="A451" s="127"/>
      <c r="B451"/>
      <c r="C451" s="134"/>
      <c r="D451"/>
      <c r="E451"/>
      <c r="F451"/>
      <c r="G451"/>
      <c r="H451"/>
      <c r="I451"/>
      <c r="J451"/>
      <c r="K451"/>
      <c r="L451"/>
      <c r="M451"/>
      <c r="N451"/>
      <c r="O451"/>
      <c r="P451"/>
      <c r="Q451"/>
      <c r="R451"/>
      <c r="S451"/>
      <c r="T451"/>
      <c r="U451"/>
      <c r="V451"/>
      <c r="W451"/>
      <c r="X451" s="66"/>
      <c r="Y451" s="4"/>
      <c r="Z451" s="4"/>
      <c r="AA451" s="4"/>
      <c r="AB451" s="4"/>
      <c r="AC451" s="4"/>
      <c r="AD451" s="4"/>
      <c r="AE451" s="4"/>
      <c r="AF451" s="4"/>
      <c r="AG451"/>
      <c r="AH451"/>
      <c r="AI451"/>
      <c r="AJ451"/>
      <c r="AK451"/>
      <c r="AL451"/>
      <c r="AM451"/>
      <c r="AN451"/>
      <c r="AO451" s="148">
        <f t="shared" si="164"/>
        <v>8.9270000000000014</v>
      </c>
      <c r="AP451" s="195">
        <v>338</v>
      </c>
      <c r="AQ451" s="195" t="s">
        <v>519</v>
      </c>
      <c r="AR451" s="195" t="s">
        <v>520</v>
      </c>
      <c r="AS451" s="195" t="s">
        <v>529</v>
      </c>
      <c r="AT451" s="195" t="s">
        <v>527</v>
      </c>
      <c r="AU451" s="195" t="s">
        <v>530</v>
      </c>
      <c r="AV451" s="195" t="s">
        <v>523</v>
      </c>
      <c r="AW451" s="195" t="s">
        <v>525</v>
      </c>
      <c r="AX451" s="195" t="s">
        <v>521</v>
      </c>
      <c r="AZ451"/>
      <c r="BA451"/>
      <c r="BB451"/>
      <c r="BC451"/>
      <c r="BD451"/>
      <c r="BE451"/>
      <c r="BF451" s="152"/>
      <c r="BG451" s="152"/>
    </row>
    <row r="452" spans="1:59" s="90" customFormat="1" ht="14.25" customHeight="1" x14ac:dyDescent="0.2">
      <c r="A452" s="127"/>
      <c r="B452"/>
      <c r="C452" s="134"/>
      <c r="D452"/>
      <c r="E452"/>
      <c r="F452"/>
      <c r="G452"/>
      <c r="H452"/>
      <c r="I452"/>
      <c r="J452"/>
      <c r="K452"/>
      <c r="L452"/>
      <c r="M452"/>
      <c r="N452"/>
      <c r="O452"/>
      <c r="P452"/>
      <c r="Q452"/>
      <c r="R452"/>
      <c r="S452"/>
      <c r="T452"/>
      <c r="U452"/>
      <c r="V452"/>
      <c r="W452"/>
      <c r="X452" s="66"/>
      <c r="Y452" s="4"/>
      <c r="Z452" s="4"/>
      <c r="AA452" s="4"/>
      <c r="AB452" s="4"/>
      <c r="AC452" s="4"/>
      <c r="AD452" s="4"/>
      <c r="AE452" s="4"/>
      <c r="AF452" s="4"/>
      <c r="AG452"/>
      <c r="AH452"/>
      <c r="AI452"/>
      <c r="AJ452"/>
      <c r="AK452"/>
      <c r="AL452"/>
      <c r="AM452"/>
      <c r="AN452"/>
      <c r="AO452" s="148">
        <f t="shared" si="164"/>
        <v>8.9283000000000001</v>
      </c>
      <c r="AP452" s="195">
        <v>339</v>
      </c>
      <c r="AQ452" s="195" t="s">
        <v>519</v>
      </c>
      <c r="AR452" s="195" t="s">
        <v>520</v>
      </c>
      <c r="AS452" s="195" t="s">
        <v>529</v>
      </c>
      <c r="AT452" s="195" t="s">
        <v>527</v>
      </c>
      <c r="AU452" s="195" t="s">
        <v>530</v>
      </c>
      <c r="AV452" s="195" t="s">
        <v>523</v>
      </c>
      <c r="AW452" s="195" t="s">
        <v>521</v>
      </c>
      <c r="AX452" s="195" t="s">
        <v>526</v>
      </c>
      <c r="AZ452"/>
      <c r="BA452"/>
      <c r="BB452"/>
      <c r="BC452"/>
      <c r="BD452"/>
      <c r="BE452"/>
      <c r="BF452" s="152"/>
      <c r="BG452" s="152"/>
    </row>
    <row r="453" spans="1:59" s="90" customFormat="1" ht="14.25" customHeight="1" x14ac:dyDescent="0.2">
      <c r="A453" s="127"/>
      <c r="B453"/>
      <c r="C453" s="134"/>
      <c r="D453"/>
      <c r="E453"/>
      <c r="F453"/>
      <c r="G453"/>
      <c r="H453"/>
      <c r="I453"/>
      <c r="J453"/>
      <c r="K453"/>
      <c r="L453"/>
      <c r="M453"/>
      <c r="N453"/>
      <c r="O453"/>
      <c r="P453"/>
      <c r="Q453"/>
      <c r="R453"/>
      <c r="S453"/>
      <c r="T453"/>
      <c r="U453"/>
      <c r="V453"/>
      <c r="W453"/>
      <c r="X453" s="66"/>
      <c r="Y453" s="4"/>
      <c r="Z453" s="4"/>
      <c r="AA453" s="4"/>
      <c r="AB453" s="4"/>
      <c r="AC453" s="4"/>
      <c r="AD453" s="4"/>
      <c r="AE453" s="4"/>
      <c r="AF453" s="4"/>
      <c r="AG453"/>
      <c r="AH453"/>
      <c r="AI453"/>
      <c r="AJ453"/>
      <c r="AK453"/>
      <c r="AL453"/>
      <c r="AM453"/>
      <c r="AN453"/>
      <c r="AO453" s="148">
        <f t="shared" si="164"/>
        <v>8.9253</v>
      </c>
      <c r="AP453" s="195">
        <v>340</v>
      </c>
      <c r="AQ453" s="195" t="s">
        <v>519</v>
      </c>
      <c r="AR453" s="195" t="s">
        <v>520</v>
      </c>
      <c r="AS453" s="195" t="s">
        <v>529</v>
      </c>
      <c r="AT453" s="195" t="s">
        <v>527</v>
      </c>
      <c r="AU453" s="195" t="s">
        <v>530</v>
      </c>
      <c r="AV453" s="195" t="s">
        <v>524</v>
      </c>
      <c r="AW453" s="195" t="s">
        <v>525</v>
      </c>
      <c r="AX453" s="195" t="s">
        <v>526</v>
      </c>
      <c r="AZ453"/>
      <c r="BA453"/>
      <c r="BB453"/>
      <c r="BC453"/>
      <c r="BD453"/>
      <c r="BE453"/>
      <c r="BF453" s="152"/>
      <c r="BG453" s="152"/>
    </row>
    <row r="454" spans="1:59" s="90" customFormat="1" ht="14.25" customHeight="1" x14ac:dyDescent="0.2">
      <c r="A454" s="127"/>
      <c r="B454"/>
      <c r="C454" s="134"/>
      <c r="D454"/>
      <c r="E454"/>
      <c r="F454"/>
      <c r="G454"/>
      <c r="H454"/>
      <c r="I454"/>
      <c r="J454"/>
      <c r="K454"/>
      <c r="L454"/>
      <c r="M454"/>
      <c r="N454"/>
      <c r="O454"/>
      <c r="P454"/>
      <c r="Q454"/>
      <c r="R454"/>
      <c r="S454"/>
      <c r="T454"/>
      <c r="U454"/>
      <c r="V454"/>
      <c r="W454"/>
      <c r="X454" s="66"/>
      <c r="Y454" s="4"/>
      <c r="Z454" s="4"/>
      <c r="AA454" s="4"/>
      <c r="AB454" s="4"/>
      <c r="AC454" s="4"/>
      <c r="AD454" s="4"/>
      <c r="AE454" s="4"/>
      <c r="AF454" s="4"/>
      <c r="AG454"/>
      <c r="AH454"/>
      <c r="AI454"/>
      <c r="AJ454"/>
      <c r="AK454"/>
      <c r="AL454"/>
      <c r="AM454"/>
      <c r="AN454"/>
      <c r="AO454" s="148">
        <f t="shared" si="164"/>
        <v>8.9256000000000011</v>
      </c>
      <c r="AP454" s="195">
        <v>341</v>
      </c>
      <c r="AQ454" s="195" t="s">
        <v>519</v>
      </c>
      <c r="AR454" s="195" t="s">
        <v>524</v>
      </c>
      <c r="AS454" s="195" t="s">
        <v>529</v>
      </c>
      <c r="AT454" s="195" t="s">
        <v>530</v>
      </c>
      <c r="AU454" s="195" t="s">
        <v>521</v>
      </c>
      <c r="AV454" s="195" t="s">
        <v>527</v>
      </c>
      <c r="AW454" s="195" t="s">
        <v>525</v>
      </c>
      <c r="AX454" s="195" t="s">
        <v>526</v>
      </c>
      <c r="AZ454"/>
      <c r="BA454"/>
      <c r="BB454"/>
      <c r="BC454"/>
      <c r="BD454"/>
      <c r="BE454"/>
      <c r="BF454" s="152"/>
      <c r="BG454" s="152"/>
    </row>
    <row r="455" spans="1:59" s="90" customFormat="1" ht="14.25" customHeight="1" x14ac:dyDescent="0.2">
      <c r="A455" s="127"/>
      <c r="B455"/>
      <c r="C455" s="134"/>
      <c r="D455"/>
      <c r="E455"/>
      <c r="F455"/>
      <c r="G455"/>
      <c r="H455"/>
      <c r="I455"/>
      <c r="J455"/>
      <c r="K455"/>
      <c r="L455"/>
      <c r="M455"/>
      <c r="N455"/>
      <c r="O455"/>
      <c r="P455"/>
      <c r="Q455"/>
      <c r="R455"/>
      <c r="S455"/>
      <c r="T455"/>
      <c r="U455"/>
      <c r="V455"/>
      <c r="W455"/>
      <c r="X455" s="66"/>
      <c r="Y455" s="4"/>
      <c r="Z455" s="4"/>
      <c r="AA455" s="4"/>
      <c r="AB455" s="4"/>
      <c r="AC455" s="4"/>
      <c r="AD455" s="4"/>
      <c r="AE455" s="4"/>
      <c r="AF455" s="4"/>
      <c r="AG455"/>
      <c r="AH455"/>
      <c r="AI455"/>
      <c r="AJ455"/>
      <c r="AK455"/>
      <c r="AL455"/>
      <c r="AM455"/>
      <c r="AN455"/>
      <c r="AO455" s="148">
        <f t="shared" si="164"/>
        <v>8.9238000000000017</v>
      </c>
      <c r="AP455" s="195">
        <v>342</v>
      </c>
      <c r="AQ455" s="195" t="s">
        <v>519</v>
      </c>
      <c r="AR455" s="195" t="s">
        <v>520</v>
      </c>
      <c r="AS455" s="195" t="s">
        <v>529</v>
      </c>
      <c r="AT455" s="195" t="s">
        <v>527</v>
      </c>
      <c r="AU455" s="195" t="s">
        <v>530</v>
      </c>
      <c r="AV455" s="195" t="s">
        <v>524</v>
      </c>
      <c r="AW455" s="195" t="s">
        <v>525</v>
      </c>
      <c r="AX455" s="195" t="s">
        <v>521</v>
      </c>
      <c r="AZ455"/>
      <c r="BA455"/>
      <c r="BB455"/>
      <c r="BC455"/>
      <c r="BD455"/>
      <c r="BE455"/>
      <c r="BF455" s="152"/>
      <c r="BG455" s="152"/>
    </row>
    <row r="456" spans="1:59" s="90" customFormat="1" ht="14.25" customHeight="1" x14ac:dyDescent="0.2">
      <c r="A456" s="127"/>
      <c r="B456"/>
      <c r="C456" s="134"/>
      <c r="D456"/>
      <c r="E456"/>
      <c r="F456"/>
      <c r="G456"/>
      <c r="H456"/>
      <c r="I456"/>
      <c r="J456"/>
      <c r="K456"/>
      <c r="L456"/>
      <c r="M456"/>
      <c r="N456"/>
      <c r="O456"/>
      <c r="P456"/>
      <c r="Q456"/>
      <c r="R456"/>
      <c r="S456"/>
      <c r="T456"/>
      <c r="U456"/>
      <c r="V456"/>
      <c r="W456"/>
      <c r="X456" s="66"/>
      <c r="Y456" s="4"/>
      <c r="Z456" s="4"/>
      <c r="AA456" s="4"/>
      <c r="AB456" s="4"/>
      <c r="AC456" s="4"/>
      <c r="AD456" s="4"/>
      <c r="AE456" s="4"/>
      <c r="AF456" s="4"/>
      <c r="AG456"/>
      <c r="AH456"/>
      <c r="AI456"/>
      <c r="AJ456"/>
      <c r="AK456"/>
      <c r="AL456"/>
      <c r="AM456"/>
      <c r="AN456"/>
      <c r="AO456" s="148">
        <f t="shared" si="164"/>
        <v>8.9251000000000005</v>
      </c>
      <c r="AP456" s="195">
        <v>343</v>
      </c>
      <c r="AQ456" s="195" t="s">
        <v>519</v>
      </c>
      <c r="AR456" s="195" t="s">
        <v>520</v>
      </c>
      <c r="AS456" s="195" t="s">
        <v>529</v>
      </c>
      <c r="AT456" s="195" t="s">
        <v>527</v>
      </c>
      <c r="AU456" s="195" t="s">
        <v>530</v>
      </c>
      <c r="AV456" s="195" t="s">
        <v>524</v>
      </c>
      <c r="AW456" s="195" t="s">
        <v>521</v>
      </c>
      <c r="AX456" s="195" t="s">
        <v>526</v>
      </c>
      <c r="AZ456"/>
      <c r="BA456"/>
      <c r="BB456"/>
      <c r="BC456"/>
      <c r="BD456"/>
      <c r="BE456"/>
      <c r="BF456" s="152"/>
      <c r="BG456" s="152"/>
    </row>
    <row r="457" spans="1:59" s="90" customFormat="1" ht="14.25" customHeight="1" x14ac:dyDescent="0.2">
      <c r="A457" s="127"/>
      <c r="B457"/>
      <c r="C457" s="134"/>
      <c r="D457"/>
      <c r="E457"/>
      <c r="F457"/>
      <c r="G457"/>
      <c r="H457"/>
      <c r="I457"/>
      <c r="J457"/>
      <c r="K457"/>
      <c r="L457"/>
      <c r="M457"/>
      <c r="N457"/>
      <c r="O457"/>
      <c r="P457"/>
      <c r="Q457"/>
      <c r="R457"/>
      <c r="S457"/>
      <c r="T457"/>
      <c r="U457"/>
      <c r="V457"/>
      <c r="W457"/>
      <c r="X457" s="66"/>
      <c r="Y457" s="4"/>
      <c r="Z457" s="4"/>
      <c r="AA457" s="4"/>
      <c r="AB457" s="4"/>
      <c r="AC457" s="4"/>
      <c r="AD457" s="4"/>
      <c r="AE457" s="4"/>
      <c r="AF457" s="4"/>
      <c r="AG457"/>
      <c r="AH457"/>
      <c r="AI457"/>
      <c r="AJ457"/>
      <c r="AK457"/>
      <c r="AL457"/>
      <c r="AM457"/>
      <c r="AN457"/>
      <c r="AO457" s="148">
        <f t="shared" si="164"/>
        <v>8.9286000000000012</v>
      </c>
      <c r="AP457" s="195">
        <v>344</v>
      </c>
      <c r="AQ457" s="195" t="s">
        <v>519</v>
      </c>
      <c r="AR457" s="195" t="s">
        <v>524</v>
      </c>
      <c r="AS457" s="195" t="s">
        <v>529</v>
      </c>
      <c r="AT457" s="195" t="s">
        <v>527</v>
      </c>
      <c r="AU457" s="195" t="s">
        <v>530</v>
      </c>
      <c r="AV457" s="195" t="s">
        <v>523</v>
      </c>
      <c r="AW457" s="195" t="s">
        <v>525</v>
      </c>
      <c r="AX457" s="195" t="s">
        <v>526</v>
      </c>
      <c r="AZ457"/>
      <c r="BA457"/>
      <c r="BB457"/>
      <c r="BC457"/>
      <c r="BD457"/>
      <c r="BE457"/>
      <c r="BF457" s="152"/>
      <c r="BG457" s="152"/>
    </row>
    <row r="458" spans="1:59" s="90" customFormat="1" ht="14.25" customHeight="1" x14ac:dyDescent="0.2">
      <c r="A458" s="127"/>
      <c r="B458"/>
      <c r="C458" s="134"/>
      <c r="D458"/>
      <c r="E458"/>
      <c r="F458"/>
      <c r="G458"/>
      <c r="H458"/>
      <c r="I458"/>
      <c r="J458"/>
      <c r="K458"/>
      <c r="L458"/>
      <c r="M458"/>
      <c r="N458"/>
      <c r="O458"/>
      <c r="P458"/>
      <c r="Q458"/>
      <c r="R458"/>
      <c r="S458"/>
      <c r="T458"/>
      <c r="U458"/>
      <c r="V458"/>
      <c r="W458"/>
      <c r="X458" s="66"/>
      <c r="Y458" s="4"/>
      <c r="Z458" s="4"/>
      <c r="AA458" s="4"/>
      <c r="AB458" s="4"/>
      <c r="AC458" s="4"/>
      <c r="AD458" s="4"/>
      <c r="AE458" s="4"/>
      <c r="AF458" s="4"/>
      <c r="AG458"/>
      <c r="AH458"/>
      <c r="AI458"/>
      <c r="AJ458"/>
      <c r="AK458"/>
      <c r="AL458"/>
      <c r="AM458"/>
      <c r="AN458"/>
      <c r="AO458" s="148">
        <f t="shared" si="164"/>
        <v>8.9268000000000001</v>
      </c>
      <c r="AP458" s="195">
        <v>345</v>
      </c>
      <c r="AQ458" s="195" t="s">
        <v>523</v>
      </c>
      <c r="AR458" s="195" t="s">
        <v>520</v>
      </c>
      <c r="AS458" s="195" t="s">
        <v>529</v>
      </c>
      <c r="AT458" s="195" t="s">
        <v>527</v>
      </c>
      <c r="AU458" s="195" t="s">
        <v>530</v>
      </c>
      <c r="AV458" s="195" t="s">
        <v>524</v>
      </c>
      <c r="AW458" s="195" t="s">
        <v>525</v>
      </c>
      <c r="AX458" s="195" t="s">
        <v>519</v>
      </c>
      <c r="AZ458"/>
      <c r="BA458"/>
      <c r="BB458"/>
      <c r="BC458"/>
      <c r="BD458"/>
      <c r="BE458"/>
      <c r="BF458" s="152"/>
      <c r="BG458" s="152"/>
    </row>
    <row r="459" spans="1:59" s="90" customFormat="1" ht="14.25" customHeight="1" x14ac:dyDescent="0.2">
      <c r="A459" s="127"/>
      <c r="B459"/>
      <c r="C459" s="134"/>
      <c r="D459"/>
      <c r="E459"/>
      <c r="F459"/>
      <c r="G459"/>
      <c r="H459"/>
      <c r="I459"/>
      <c r="J459"/>
      <c r="K459"/>
      <c r="L459"/>
      <c r="M459"/>
      <c r="N459"/>
      <c r="O459"/>
      <c r="P459"/>
      <c r="Q459"/>
      <c r="R459"/>
      <c r="S459"/>
      <c r="T459"/>
      <c r="U459"/>
      <c r="V459"/>
      <c r="W459"/>
      <c r="X459" s="66"/>
      <c r="Y459" s="4"/>
      <c r="Z459" s="4"/>
      <c r="AA459" s="4"/>
      <c r="AB459" s="4"/>
      <c r="AC459" s="4"/>
      <c r="AD459" s="4"/>
      <c r="AE459" s="4"/>
      <c r="AF459" s="4"/>
      <c r="AG459"/>
      <c r="AH459"/>
      <c r="AI459"/>
      <c r="AJ459"/>
      <c r="AK459"/>
      <c r="AL459"/>
      <c r="AM459"/>
      <c r="AN459"/>
      <c r="AO459" s="148">
        <f t="shared" si="164"/>
        <v>8.9281000000000006</v>
      </c>
      <c r="AP459" s="195">
        <v>346</v>
      </c>
      <c r="AQ459" s="195" t="s">
        <v>523</v>
      </c>
      <c r="AR459" s="195" t="s">
        <v>520</v>
      </c>
      <c r="AS459" s="195" t="s">
        <v>529</v>
      </c>
      <c r="AT459" s="195" t="s">
        <v>527</v>
      </c>
      <c r="AU459" s="195" t="s">
        <v>530</v>
      </c>
      <c r="AV459" s="195" t="s">
        <v>524</v>
      </c>
      <c r="AW459" s="195" t="s">
        <v>519</v>
      </c>
      <c r="AX459" s="195" t="s">
        <v>526</v>
      </c>
      <c r="AZ459"/>
      <c r="BA459"/>
      <c r="BB459"/>
      <c r="BC459"/>
      <c r="BD459"/>
      <c r="BE459"/>
      <c r="BF459" s="152"/>
      <c r="BG459" s="152"/>
    </row>
    <row r="460" spans="1:59" s="90" customFormat="1" ht="14.25" customHeight="1" x14ac:dyDescent="0.2">
      <c r="A460" s="127"/>
      <c r="B460"/>
      <c r="C460" s="134"/>
      <c r="D460"/>
      <c r="E460"/>
      <c r="F460"/>
      <c r="G460"/>
      <c r="H460"/>
      <c r="I460"/>
      <c r="J460"/>
      <c r="K460"/>
      <c r="L460"/>
      <c r="M460"/>
      <c r="N460"/>
      <c r="O460"/>
      <c r="P460"/>
      <c r="Q460"/>
      <c r="R460"/>
      <c r="S460"/>
      <c r="T460"/>
      <c r="U460"/>
      <c r="V460"/>
      <c r="W460"/>
      <c r="X460" s="66"/>
      <c r="Y460" s="4"/>
      <c r="Z460" s="4"/>
      <c r="AA460" s="4"/>
      <c r="AB460" s="4"/>
      <c r="AC460" s="4"/>
      <c r="AD460" s="4"/>
      <c r="AE460" s="4"/>
      <c r="AF460" s="4"/>
      <c r="AG460"/>
      <c r="AH460"/>
      <c r="AI460"/>
      <c r="AJ460"/>
      <c r="AK460"/>
      <c r="AL460"/>
      <c r="AM460"/>
      <c r="AN460"/>
      <c r="AO460" s="148">
        <f t="shared" si="164"/>
        <v>8.9271000000000011</v>
      </c>
      <c r="AP460" s="195">
        <v>347</v>
      </c>
      <c r="AQ460" s="195" t="s">
        <v>519</v>
      </c>
      <c r="AR460" s="195" t="s">
        <v>524</v>
      </c>
      <c r="AS460" s="195" t="s">
        <v>529</v>
      </c>
      <c r="AT460" s="195" t="s">
        <v>527</v>
      </c>
      <c r="AU460" s="195" t="s">
        <v>530</v>
      </c>
      <c r="AV460" s="195" t="s">
        <v>523</v>
      </c>
      <c r="AW460" s="195" t="s">
        <v>525</v>
      </c>
      <c r="AX460" s="195" t="s">
        <v>521</v>
      </c>
      <c r="AZ460"/>
      <c r="BA460"/>
      <c r="BB460"/>
      <c r="BC460"/>
      <c r="BD460"/>
      <c r="BE460"/>
      <c r="BF460" s="152"/>
      <c r="BG460" s="152"/>
    </row>
    <row r="461" spans="1:59" s="90" customFormat="1" ht="14.25" customHeight="1" x14ac:dyDescent="0.2">
      <c r="A461" s="127"/>
      <c r="B461"/>
      <c r="C461" s="134"/>
      <c r="D461"/>
      <c r="E461"/>
      <c r="F461"/>
      <c r="G461"/>
      <c r="H461"/>
      <c r="I461"/>
      <c r="J461"/>
      <c r="K461"/>
      <c r="L461"/>
      <c r="M461"/>
      <c r="N461"/>
      <c r="O461"/>
      <c r="P461"/>
      <c r="Q461"/>
      <c r="R461"/>
      <c r="S461"/>
      <c r="T461"/>
      <c r="U461"/>
      <c r="V461"/>
      <c r="W461"/>
      <c r="X461" s="66"/>
      <c r="Y461" s="4"/>
      <c r="Z461" s="4"/>
      <c r="AA461" s="4"/>
      <c r="AB461" s="4"/>
      <c r="AC461" s="4"/>
      <c r="AD461" s="4"/>
      <c r="AE461" s="4"/>
      <c r="AF461" s="4"/>
      <c r="AG461"/>
      <c r="AH461"/>
      <c r="AI461"/>
      <c r="AJ461"/>
      <c r="AK461"/>
      <c r="AL461"/>
      <c r="AM461"/>
      <c r="AN461"/>
      <c r="AO461" s="148">
        <f t="shared" si="164"/>
        <v>8.9283999999999999</v>
      </c>
      <c r="AP461" s="195">
        <v>348</v>
      </c>
      <c r="AQ461" s="195" t="s">
        <v>519</v>
      </c>
      <c r="AR461" s="195" t="s">
        <v>524</v>
      </c>
      <c r="AS461" s="195" t="s">
        <v>529</v>
      </c>
      <c r="AT461" s="195" t="s">
        <v>527</v>
      </c>
      <c r="AU461" s="195" t="s">
        <v>530</v>
      </c>
      <c r="AV461" s="195" t="s">
        <v>523</v>
      </c>
      <c r="AW461" s="195" t="s">
        <v>521</v>
      </c>
      <c r="AX461" s="195" t="s">
        <v>526</v>
      </c>
      <c r="AZ461"/>
      <c r="BA461"/>
      <c r="BB461"/>
      <c r="BC461"/>
      <c r="BD461"/>
      <c r="BE461"/>
      <c r="BF461" s="152"/>
      <c r="BG461" s="152"/>
    </row>
    <row r="462" spans="1:59" s="90" customFormat="1" ht="14.25" customHeight="1" x14ac:dyDescent="0.2">
      <c r="A462" s="127"/>
      <c r="B462"/>
      <c r="C462" s="134"/>
      <c r="D462"/>
      <c r="E462"/>
      <c r="F462"/>
      <c r="G462"/>
      <c r="H462"/>
      <c r="I462"/>
      <c r="J462"/>
      <c r="K462"/>
      <c r="L462"/>
      <c r="M462"/>
      <c r="N462"/>
      <c r="O462"/>
      <c r="P462"/>
      <c r="Q462"/>
      <c r="R462"/>
      <c r="S462"/>
      <c r="T462"/>
      <c r="U462"/>
      <c r="V462"/>
      <c r="W462"/>
      <c r="X462" s="66"/>
      <c r="Y462" s="4"/>
      <c r="Z462" s="4"/>
      <c r="AA462" s="4"/>
      <c r="AB462" s="4"/>
      <c r="AC462" s="4"/>
      <c r="AD462" s="4"/>
      <c r="AE462" s="4"/>
      <c r="AF462" s="4"/>
      <c r="AG462"/>
      <c r="AH462"/>
      <c r="AI462"/>
      <c r="AJ462"/>
      <c r="AK462"/>
      <c r="AL462"/>
      <c r="AM462"/>
      <c r="AN462"/>
      <c r="AO462" s="148">
        <f t="shared" si="164"/>
        <v>8.9266000000000005</v>
      </c>
      <c r="AP462" s="195">
        <v>349</v>
      </c>
      <c r="AQ462" s="195" t="s">
        <v>523</v>
      </c>
      <c r="AR462" s="195" t="s">
        <v>520</v>
      </c>
      <c r="AS462" s="195" t="s">
        <v>529</v>
      </c>
      <c r="AT462" s="195" t="s">
        <v>527</v>
      </c>
      <c r="AU462" s="195" t="s">
        <v>530</v>
      </c>
      <c r="AV462" s="195" t="s">
        <v>524</v>
      </c>
      <c r="AW462" s="195" t="s">
        <v>519</v>
      </c>
      <c r="AX462" s="195" t="s">
        <v>521</v>
      </c>
      <c r="AZ462"/>
      <c r="BA462"/>
      <c r="BB462"/>
      <c r="BC462"/>
      <c r="BD462"/>
      <c r="BE462"/>
      <c r="BF462" s="152"/>
      <c r="BG462" s="152"/>
    </row>
    <row r="463" spans="1:59" s="90" customFormat="1" ht="14.25" customHeight="1" x14ac:dyDescent="0.2">
      <c r="A463" s="127"/>
      <c r="B463"/>
      <c r="C463" s="134"/>
      <c r="D463"/>
      <c r="E463"/>
      <c r="F463"/>
      <c r="G463"/>
      <c r="H463"/>
      <c r="I463"/>
      <c r="J463"/>
      <c r="K463"/>
      <c r="L463"/>
      <c r="M463"/>
      <c r="N463"/>
      <c r="O463"/>
      <c r="P463"/>
      <c r="Q463"/>
      <c r="R463"/>
      <c r="S463"/>
      <c r="T463"/>
      <c r="U463"/>
      <c r="V463"/>
      <c r="W463"/>
      <c r="X463" s="66"/>
      <c r="Y463" s="4"/>
      <c r="Z463" s="4"/>
      <c r="AA463" s="4"/>
      <c r="AB463" s="4"/>
      <c r="AC463" s="4"/>
      <c r="AD463" s="4"/>
      <c r="AE463" s="4"/>
      <c r="AF463" s="4"/>
      <c r="AG463"/>
      <c r="AH463"/>
      <c r="AI463"/>
      <c r="AJ463"/>
      <c r="AK463"/>
      <c r="AL463"/>
      <c r="AM463"/>
      <c r="AN463"/>
      <c r="AO463" s="148">
        <f t="shared" si="164"/>
        <v>8.9262000000000015</v>
      </c>
      <c r="AP463" s="195">
        <v>350</v>
      </c>
      <c r="AQ463" s="195" t="s">
        <v>519</v>
      </c>
      <c r="AR463" s="195" t="s">
        <v>520</v>
      </c>
      <c r="AS463" s="195" t="s">
        <v>529</v>
      </c>
      <c r="AT463" s="195" t="s">
        <v>527</v>
      </c>
      <c r="AU463" s="195" t="s">
        <v>530</v>
      </c>
      <c r="AV463" s="195" t="s">
        <v>522</v>
      </c>
      <c r="AW463" s="195" t="s">
        <v>525</v>
      </c>
      <c r="AX463" s="195" t="s">
        <v>526</v>
      </c>
      <c r="AZ463"/>
      <c r="BA463"/>
      <c r="BB463"/>
      <c r="BC463"/>
      <c r="BD463"/>
      <c r="BE463"/>
      <c r="BF463" s="152"/>
      <c r="BG463" s="152"/>
    </row>
    <row r="464" spans="1:59" s="90" customFormat="1" ht="14.25" customHeight="1" x14ac:dyDescent="0.2">
      <c r="A464" s="127"/>
      <c r="B464"/>
      <c r="C464" s="134"/>
      <c r="D464"/>
      <c r="E464"/>
      <c r="F464"/>
      <c r="G464"/>
      <c r="H464"/>
      <c r="I464"/>
      <c r="J464"/>
      <c r="K464"/>
      <c r="L464"/>
      <c r="M464"/>
      <c r="N464"/>
      <c r="O464"/>
      <c r="P464"/>
      <c r="Q464"/>
      <c r="R464"/>
      <c r="S464"/>
      <c r="T464"/>
      <c r="U464"/>
      <c r="V464"/>
      <c r="W464"/>
      <c r="X464" s="66"/>
      <c r="Y464" s="4"/>
      <c r="Z464" s="4"/>
      <c r="AA464" s="4"/>
      <c r="AB464" s="4"/>
      <c r="AC464" s="4"/>
      <c r="AD464" s="4"/>
      <c r="AE464" s="4"/>
      <c r="AF464" s="4"/>
      <c r="AG464"/>
      <c r="AH464"/>
      <c r="AI464"/>
      <c r="AJ464"/>
      <c r="AK464"/>
      <c r="AL464"/>
      <c r="AM464"/>
      <c r="AN464"/>
      <c r="AO464" s="148">
        <f t="shared" si="164"/>
        <v>8.9265000000000008</v>
      </c>
      <c r="AP464" s="195">
        <v>351</v>
      </c>
      <c r="AQ464" s="195" t="s">
        <v>519</v>
      </c>
      <c r="AR464" s="195" t="s">
        <v>521</v>
      </c>
      <c r="AS464" s="195" t="s">
        <v>529</v>
      </c>
      <c r="AT464" s="195" t="s">
        <v>527</v>
      </c>
      <c r="AU464" s="195" t="s">
        <v>530</v>
      </c>
      <c r="AV464" s="195" t="s">
        <v>522</v>
      </c>
      <c r="AW464" s="195" t="s">
        <v>525</v>
      </c>
      <c r="AX464" s="195" t="s">
        <v>526</v>
      </c>
      <c r="AZ464"/>
      <c r="BA464"/>
      <c r="BB464"/>
      <c r="BC464"/>
      <c r="BD464"/>
      <c r="BE464"/>
      <c r="BF464" s="152"/>
      <c r="BG464" s="152"/>
    </row>
    <row r="465" spans="1:59" s="90" customFormat="1" ht="14.25" customHeight="1" x14ac:dyDescent="0.2">
      <c r="A465" s="127"/>
      <c r="B465"/>
      <c r="C465" s="134"/>
      <c r="D465"/>
      <c r="E465"/>
      <c r="F465"/>
      <c r="G465"/>
      <c r="H465"/>
      <c r="I465"/>
      <c r="J465"/>
      <c r="K465"/>
      <c r="L465"/>
      <c r="M465"/>
      <c r="N465"/>
      <c r="O465"/>
      <c r="P465"/>
      <c r="Q465"/>
      <c r="R465"/>
      <c r="S465"/>
      <c r="T465"/>
      <c r="U465"/>
      <c r="V465"/>
      <c r="W465"/>
      <c r="X465" s="66"/>
      <c r="Y465" s="4"/>
      <c r="Z465" s="4"/>
      <c r="AA465" s="4"/>
      <c r="AB465" s="4"/>
      <c r="AC465" s="4"/>
      <c r="AD465" s="4"/>
      <c r="AE465" s="4"/>
      <c r="AF465" s="4"/>
      <c r="AG465"/>
      <c r="AH465"/>
      <c r="AI465"/>
      <c r="AJ465"/>
      <c r="AK465"/>
      <c r="AL465"/>
      <c r="AM465"/>
      <c r="AN465"/>
      <c r="AO465" s="148">
        <f t="shared" si="164"/>
        <v>8.9247000000000014</v>
      </c>
      <c r="AP465" s="195">
        <v>352</v>
      </c>
      <c r="AQ465" s="195" t="s">
        <v>519</v>
      </c>
      <c r="AR465" s="195" t="s">
        <v>520</v>
      </c>
      <c r="AS465" s="195" t="s">
        <v>529</v>
      </c>
      <c r="AT465" s="195" t="s">
        <v>527</v>
      </c>
      <c r="AU465" s="195" t="s">
        <v>530</v>
      </c>
      <c r="AV465" s="195" t="s">
        <v>522</v>
      </c>
      <c r="AW465" s="195" t="s">
        <v>525</v>
      </c>
      <c r="AX465" s="195" t="s">
        <v>521</v>
      </c>
      <c r="AZ465"/>
      <c r="BA465"/>
      <c r="BB465"/>
      <c r="BC465"/>
      <c r="BD465"/>
      <c r="BE465"/>
      <c r="BF465" s="152"/>
      <c r="BG465" s="152"/>
    </row>
    <row r="466" spans="1:59" s="90" customFormat="1" ht="14.25" customHeight="1" x14ac:dyDescent="0.2">
      <c r="A466" s="127"/>
      <c r="B466"/>
      <c r="C466" s="134"/>
      <c r="D466"/>
      <c r="E466"/>
      <c r="F466"/>
      <c r="G466"/>
      <c r="H466"/>
      <c r="I466"/>
      <c r="J466"/>
      <c r="K466"/>
      <c r="L466"/>
      <c r="M466"/>
      <c r="N466"/>
      <c r="O466"/>
      <c r="P466"/>
      <c r="Q466"/>
      <c r="R466"/>
      <c r="S466"/>
      <c r="T466"/>
      <c r="U466"/>
      <c r="V466"/>
      <c r="W466"/>
      <c r="X466" s="66"/>
      <c r="Y466" s="4"/>
      <c r="Z466" s="4"/>
      <c r="AA466" s="4"/>
      <c r="AB466" s="4"/>
      <c r="AC466" s="4"/>
      <c r="AD466" s="4"/>
      <c r="AE466" s="4"/>
      <c r="AF466" s="4"/>
      <c r="AG466"/>
      <c r="AH466"/>
      <c r="AI466"/>
      <c r="AJ466"/>
      <c r="AK466"/>
      <c r="AL466"/>
      <c r="AM466"/>
      <c r="AN466"/>
      <c r="AO466" s="148">
        <f t="shared" si="164"/>
        <v>8.9260000000000019</v>
      </c>
      <c r="AP466" s="195">
        <v>353</v>
      </c>
      <c r="AQ466" s="195" t="s">
        <v>519</v>
      </c>
      <c r="AR466" s="195" t="s">
        <v>520</v>
      </c>
      <c r="AS466" s="195" t="s">
        <v>529</v>
      </c>
      <c r="AT466" s="195" t="s">
        <v>527</v>
      </c>
      <c r="AU466" s="195" t="s">
        <v>530</v>
      </c>
      <c r="AV466" s="195" t="s">
        <v>522</v>
      </c>
      <c r="AW466" s="195" t="s">
        <v>521</v>
      </c>
      <c r="AX466" s="195" t="s">
        <v>526</v>
      </c>
      <c r="AZ466"/>
      <c r="BA466"/>
      <c r="BB466"/>
      <c r="BC466"/>
      <c r="BD466"/>
      <c r="BE466"/>
      <c r="BF466" s="152"/>
      <c r="BG466" s="152"/>
    </row>
    <row r="467" spans="1:59" s="90" customFormat="1" ht="14.25" customHeight="1" x14ac:dyDescent="0.2">
      <c r="A467" s="127"/>
      <c r="B467"/>
      <c r="C467" s="134"/>
      <c r="D467"/>
      <c r="E467"/>
      <c r="F467"/>
      <c r="G467"/>
      <c r="H467"/>
      <c r="I467"/>
      <c r="J467"/>
      <c r="K467"/>
      <c r="L467"/>
      <c r="M467"/>
      <c r="N467"/>
      <c r="O467"/>
      <c r="P467"/>
      <c r="Q467"/>
      <c r="R467"/>
      <c r="S467"/>
      <c r="T467"/>
      <c r="U467"/>
      <c r="V467"/>
      <c r="W467"/>
      <c r="X467" s="66"/>
      <c r="Y467" s="4"/>
      <c r="Z467" s="4"/>
      <c r="AA467" s="4"/>
      <c r="AB467" s="4"/>
      <c r="AC467" s="4"/>
      <c r="AD467" s="4"/>
      <c r="AE467" s="4"/>
      <c r="AF467" s="4"/>
      <c r="AG467"/>
      <c r="AH467"/>
      <c r="AI467"/>
      <c r="AJ467"/>
      <c r="AK467"/>
      <c r="AL467"/>
      <c r="AM467"/>
      <c r="AN467"/>
      <c r="AO467" s="148">
        <f t="shared" si="164"/>
        <v>8.9295000000000009</v>
      </c>
      <c r="AP467" s="195">
        <v>354</v>
      </c>
      <c r="AQ467" s="195" t="s">
        <v>523</v>
      </c>
      <c r="AR467" s="195" t="s">
        <v>519</v>
      </c>
      <c r="AS467" s="195" t="s">
        <v>529</v>
      </c>
      <c r="AT467" s="195" t="s">
        <v>527</v>
      </c>
      <c r="AU467" s="195" t="s">
        <v>530</v>
      </c>
      <c r="AV467" s="195" t="s">
        <v>522</v>
      </c>
      <c r="AW467" s="195" t="s">
        <v>525</v>
      </c>
      <c r="AX467" s="195" t="s">
        <v>526</v>
      </c>
      <c r="AZ467"/>
      <c r="BA467"/>
      <c r="BB467"/>
      <c r="BC467"/>
      <c r="BD467"/>
      <c r="BE467"/>
      <c r="BF467" s="152"/>
      <c r="BG467" s="152"/>
    </row>
    <row r="468" spans="1:59" s="90" customFormat="1" ht="14.25" customHeight="1" x14ac:dyDescent="0.2">
      <c r="A468" s="127"/>
      <c r="B468"/>
      <c r="C468" s="134"/>
      <c r="D468"/>
      <c r="E468"/>
      <c r="F468"/>
      <c r="G468"/>
      <c r="H468"/>
      <c r="I468"/>
      <c r="J468"/>
      <c r="K468"/>
      <c r="L468"/>
      <c r="M468"/>
      <c r="N468"/>
      <c r="O468"/>
      <c r="P468"/>
      <c r="Q468"/>
      <c r="R468"/>
      <c r="S468"/>
      <c r="T468"/>
      <c r="U468"/>
      <c r="V468"/>
      <c r="W468"/>
      <c r="X468" s="66"/>
      <c r="Y468" s="4"/>
      <c r="Z468" s="4"/>
      <c r="AA468" s="4"/>
      <c r="AB468" s="4"/>
      <c r="AC468" s="4"/>
      <c r="AD468" s="4"/>
      <c r="AE468" s="4"/>
      <c r="AF468" s="4"/>
      <c r="AG468"/>
      <c r="AH468"/>
      <c r="AI468"/>
      <c r="AJ468"/>
      <c r="AK468"/>
      <c r="AL468"/>
      <c r="AM468"/>
      <c r="AN468"/>
      <c r="AO468" s="148">
        <f t="shared" si="164"/>
        <v>8.9277000000000015</v>
      </c>
      <c r="AP468" s="195">
        <v>355</v>
      </c>
      <c r="AQ468" s="195" t="s">
        <v>523</v>
      </c>
      <c r="AR468" s="195" t="s">
        <v>520</v>
      </c>
      <c r="AS468" s="195" t="s">
        <v>529</v>
      </c>
      <c r="AT468" s="195" t="s">
        <v>527</v>
      </c>
      <c r="AU468" s="195" t="s">
        <v>530</v>
      </c>
      <c r="AV468" s="195" t="s">
        <v>522</v>
      </c>
      <c r="AW468" s="195" t="s">
        <v>525</v>
      </c>
      <c r="AX468" s="195" t="s">
        <v>519</v>
      </c>
      <c r="AZ468"/>
      <c r="BA468"/>
      <c r="BB468"/>
      <c r="BC468"/>
      <c r="BD468"/>
      <c r="BE468"/>
      <c r="BF468" s="152"/>
      <c r="BG468" s="152"/>
    </row>
    <row r="469" spans="1:59" s="90" customFormat="1" ht="14.25" customHeight="1" x14ac:dyDescent="0.2">
      <c r="A469" s="127"/>
      <c r="B469"/>
      <c r="C469" s="134"/>
      <c r="D469"/>
      <c r="E469"/>
      <c r="F469"/>
      <c r="G469"/>
      <c r="H469"/>
      <c r="I469"/>
      <c r="J469"/>
      <c r="K469"/>
      <c r="L469"/>
      <c r="M469"/>
      <c r="N469"/>
      <c r="O469"/>
      <c r="P469"/>
      <c r="Q469"/>
      <c r="R469"/>
      <c r="S469"/>
      <c r="T469"/>
      <c r="U469"/>
      <c r="V469"/>
      <c r="W469"/>
      <c r="X469" s="66"/>
      <c r="Y469" s="4"/>
      <c r="Z469" s="4"/>
      <c r="AA469" s="4"/>
      <c r="AB469" s="4"/>
      <c r="AC469" s="4"/>
      <c r="AD469" s="4"/>
      <c r="AE469" s="4"/>
      <c r="AF469" s="4"/>
      <c r="AG469"/>
      <c r="AH469"/>
      <c r="AI469"/>
      <c r="AJ469"/>
      <c r="AK469"/>
      <c r="AL469"/>
      <c r="AM469"/>
      <c r="AN469"/>
      <c r="AO469" s="148">
        <f t="shared" si="164"/>
        <v>8.9290000000000003</v>
      </c>
      <c r="AP469" s="195">
        <v>356</v>
      </c>
      <c r="AQ469" s="195" t="s">
        <v>523</v>
      </c>
      <c r="AR469" s="195" t="s">
        <v>520</v>
      </c>
      <c r="AS469" s="195" t="s">
        <v>529</v>
      </c>
      <c r="AT469" s="195" t="s">
        <v>527</v>
      </c>
      <c r="AU469" s="195" t="s">
        <v>530</v>
      </c>
      <c r="AV469" s="195" t="s">
        <v>522</v>
      </c>
      <c r="AW469" s="195" t="s">
        <v>519</v>
      </c>
      <c r="AX469" s="195" t="s">
        <v>526</v>
      </c>
      <c r="AZ469"/>
      <c r="BA469"/>
      <c r="BB469"/>
      <c r="BC469"/>
      <c r="BD469"/>
      <c r="BE469"/>
      <c r="BF469" s="152"/>
      <c r="BG469" s="152"/>
    </row>
    <row r="470" spans="1:59" s="90" customFormat="1" ht="14.25" customHeight="1" x14ac:dyDescent="0.2">
      <c r="A470" s="127"/>
      <c r="B470"/>
      <c r="C470" s="134"/>
      <c r="D470"/>
      <c r="E470"/>
      <c r="F470"/>
      <c r="G470"/>
      <c r="H470"/>
      <c r="I470"/>
      <c r="J470"/>
      <c r="K470"/>
      <c r="L470"/>
      <c r="M470"/>
      <c r="N470"/>
      <c r="O470"/>
      <c r="P470"/>
      <c r="Q470"/>
      <c r="R470"/>
      <c r="S470"/>
      <c r="T470"/>
      <c r="U470"/>
      <c r="V470"/>
      <c r="W470"/>
      <c r="X470" s="66"/>
      <c r="Y470" s="4"/>
      <c r="Z470" s="4"/>
      <c r="AA470" s="4"/>
      <c r="AB470" s="4"/>
      <c r="AC470" s="4"/>
      <c r="AD470" s="4"/>
      <c r="AE470" s="4"/>
      <c r="AF470" s="4"/>
      <c r="AG470"/>
      <c r="AH470"/>
      <c r="AI470"/>
      <c r="AJ470"/>
      <c r="AK470"/>
      <c r="AL470"/>
      <c r="AM470"/>
      <c r="AN470"/>
      <c r="AO470" s="148">
        <f t="shared" si="164"/>
        <v>8.9280000000000008</v>
      </c>
      <c r="AP470" s="195">
        <v>357</v>
      </c>
      <c r="AQ470" s="195" t="s">
        <v>523</v>
      </c>
      <c r="AR470" s="195" t="s">
        <v>519</v>
      </c>
      <c r="AS470" s="195" t="s">
        <v>529</v>
      </c>
      <c r="AT470" s="195" t="s">
        <v>527</v>
      </c>
      <c r="AU470" s="195" t="s">
        <v>530</v>
      </c>
      <c r="AV470" s="195" t="s">
        <v>522</v>
      </c>
      <c r="AW470" s="195" t="s">
        <v>525</v>
      </c>
      <c r="AX470" s="195" t="s">
        <v>521</v>
      </c>
      <c r="AZ470"/>
      <c r="BA470"/>
      <c r="BB470"/>
      <c r="BC470"/>
      <c r="BD470"/>
      <c r="BE470"/>
      <c r="BF470" s="152"/>
      <c r="BG470" s="152"/>
    </row>
    <row r="471" spans="1:59" s="90" customFormat="1" ht="14.25" customHeight="1" x14ac:dyDescent="0.2">
      <c r="A471" s="127"/>
      <c r="B471"/>
      <c r="C471" s="134"/>
      <c r="D471"/>
      <c r="E471"/>
      <c r="F471"/>
      <c r="G471"/>
      <c r="H471"/>
      <c r="I471"/>
      <c r="J471"/>
      <c r="K471"/>
      <c r="L471"/>
      <c r="M471"/>
      <c r="N471"/>
      <c r="O471"/>
      <c r="P471"/>
      <c r="Q471"/>
      <c r="R471"/>
      <c r="S471"/>
      <c r="T471"/>
      <c r="U471"/>
      <c r="V471"/>
      <c r="W471"/>
      <c r="X471" s="66"/>
      <c r="Y471" s="4"/>
      <c r="Z471" s="4"/>
      <c r="AA471" s="4"/>
      <c r="AB471" s="4"/>
      <c r="AC471" s="4"/>
      <c r="AD471" s="4"/>
      <c r="AE471" s="4"/>
      <c r="AF471" s="4"/>
      <c r="AG471"/>
      <c r="AH471"/>
      <c r="AI471"/>
      <c r="AJ471"/>
      <c r="AK471"/>
      <c r="AL471"/>
      <c r="AM471"/>
      <c r="AN471"/>
      <c r="AO471" s="148">
        <f t="shared" si="164"/>
        <v>8.9293000000000013</v>
      </c>
      <c r="AP471" s="195">
        <v>358</v>
      </c>
      <c r="AQ471" s="195" t="s">
        <v>523</v>
      </c>
      <c r="AR471" s="195" t="s">
        <v>519</v>
      </c>
      <c r="AS471" s="195" t="s">
        <v>529</v>
      </c>
      <c r="AT471" s="195" t="s">
        <v>527</v>
      </c>
      <c r="AU471" s="195" t="s">
        <v>530</v>
      </c>
      <c r="AV471" s="195" t="s">
        <v>522</v>
      </c>
      <c r="AW471" s="195" t="s">
        <v>521</v>
      </c>
      <c r="AX471" s="195" t="s">
        <v>526</v>
      </c>
      <c r="AZ471"/>
      <c r="BA471"/>
      <c r="BB471"/>
      <c r="BC471"/>
      <c r="BD471"/>
      <c r="BE471"/>
      <c r="BF471" s="152"/>
      <c r="BG471" s="152"/>
    </row>
    <row r="472" spans="1:59" s="90" customFormat="1" ht="14.25" customHeight="1" x14ac:dyDescent="0.2">
      <c r="A472" s="127"/>
      <c r="B472"/>
      <c r="C472" s="134"/>
      <c r="D472"/>
      <c r="E472"/>
      <c r="F472"/>
      <c r="G472"/>
      <c r="H472"/>
      <c r="I472"/>
      <c r="J472"/>
      <c r="K472"/>
      <c r="L472"/>
      <c r="M472"/>
      <c r="N472"/>
      <c r="O472"/>
      <c r="P472"/>
      <c r="Q472"/>
      <c r="R472"/>
      <c r="S472"/>
      <c r="T472"/>
      <c r="U472"/>
      <c r="V472"/>
      <c r="W472"/>
      <c r="X472" s="66"/>
      <c r="Y472" s="4"/>
      <c r="Z472" s="4"/>
      <c r="AA472" s="4"/>
      <c r="AB472" s="4"/>
      <c r="AC472" s="4"/>
      <c r="AD472" s="4"/>
      <c r="AE472" s="4"/>
      <c r="AF472" s="4"/>
      <c r="AG472"/>
      <c r="AH472"/>
      <c r="AI472"/>
      <c r="AJ472"/>
      <c r="AK472"/>
      <c r="AL472"/>
      <c r="AM472"/>
      <c r="AN472"/>
      <c r="AO472" s="148">
        <f t="shared" si="164"/>
        <v>8.9275000000000002</v>
      </c>
      <c r="AP472" s="195">
        <v>359</v>
      </c>
      <c r="AQ472" s="195" t="s">
        <v>523</v>
      </c>
      <c r="AR472" s="195" t="s">
        <v>520</v>
      </c>
      <c r="AS472" s="195" t="s">
        <v>529</v>
      </c>
      <c r="AT472" s="195" t="s">
        <v>527</v>
      </c>
      <c r="AU472" s="195" t="s">
        <v>530</v>
      </c>
      <c r="AV472" s="195" t="s">
        <v>522</v>
      </c>
      <c r="AW472" s="195" t="s">
        <v>519</v>
      </c>
      <c r="AX472" s="195" t="s">
        <v>521</v>
      </c>
      <c r="AZ472"/>
      <c r="BA472"/>
      <c r="BB472"/>
      <c r="BC472"/>
      <c r="BD472"/>
      <c r="BE472"/>
      <c r="BF472" s="152"/>
      <c r="BG472" s="152"/>
    </row>
    <row r="473" spans="1:59" s="90" customFormat="1" ht="14.25" customHeight="1" x14ac:dyDescent="0.2">
      <c r="A473" s="127"/>
      <c r="B473"/>
      <c r="C473" s="134"/>
      <c r="D473"/>
      <c r="E473"/>
      <c r="F473"/>
      <c r="G473"/>
      <c r="H473"/>
      <c r="I473"/>
      <c r="J473"/>
      <c r="K473"/>
      <c r="L473"/>
      <c r="M473"/>
      <c r="N473"/>
      <c r="O473"/>
      <c r="P473"/>
      <c r="Q473"/>
      <c r="R473"/>
      <c r="S473"/>
      <c r="T473"/>
      <c r="U473"/>
      <c r="V473"/>
      <c r="W473"/>
      <c r="X473" s="66"/>
      <c r="Y473" s="4"/>
      <c r="Z473" s="4"/>
      <c r="AA473" s="4"/>
      <c r="AB473" s="4"/>
      <c r="AC473" s="4"/>
      <c r="AD473" s="4"/>
      <c r="AE473" s="4"/>
      <c r="AF473" s="4"/>
      <c r="AG473"/>
      <c r="AH473"/>
      <c r="AI473"/>
      <c r="AJ473"/>
      <c r="AK473"/>
      <c r="AL473"/>
      <c r="AM473"/>
      <c r="AN473"/>
      <c r="AO473" s="148">
        <f t="shared" si="164"/>
        <v>8.9263000000000012</v>
      </c>
      <c r="AP473" s="195">
        <v>360</v>
      </c>
      <c r="AQ473" s="195" t="s">
        <v>519</v>
      </c>
      <c r="AR473" s="195" t="s">
        <v>524</v>
      </c>
      <c r="AS473" s="195" t="s">
        <v>529</v>
      </c>
      <c r="AT473" s="195" t="s">
        <v>527</v>
      </c>
      <c r="AU473" s="195" t="s">
        <v>530</v>
      </c>
      <c r="AV473" s="195" t="s">
        <v>522</v>
      </c>
      <c r="AW473" s="195" t="s">
        <v>525</v>
      </c>
      <c r="AX473" s="195" t="s">
        <v>526</v>
      </c>
      <c r="AZ473"/>
      <c r="BA473"/>
      <c r="BB473"/>
      <c r="BC473"/>
      <c r="BD473"/>
      <c r="BE473"/>
      <c r="BF473" s="152"/>
      <c r="BG473" s="152"/>
    </row>
    <row r="474" spans="1:59" s="90" customFormat="1" ht="14.25" customHeight="1" x14ac:dyDescent="0.2">
      <c r="A474" s="127"/>
      <c r="B474"/>
      <c r="C474" s="134"/>
      <c r="D474"/>
      <c r="E474"/>
      <c r="F474"/>
      <c r="G474"/>
      <c r="H474"/>
      <c r="I474"/>
      <c r="J474"/>
      <c r="K474"/>
      <c r="L474"/>
      <c r="M474"/>
      <c r="N474"/>
      <c r="O474"/>
      <c r="P474"/>
      <c r="Q474"/>
      <c r="R474"/>
      <c r="S474"/>
      <c r="T474"/>
      <c r="U474"/>
      <c r="V474"/>
      <c r="W474"/>
      <c r="X474" s="66"/>
      <c r="Y474" s="4"/>
      <c r="Z474" s="4"/>
      <c r="AA474" s="4"/>
      <c r="AB474" s="4"/>
      <c r="AC474" s="4"/>
      <c r="AD474" s="4"/>
      <c r="AE474" s="4"/>
      <c r="AF474" s="4"/>
      <c r="AG474"/>
      <c r="AH474"/>
      <c r="AI474"/>
      <c r="AJ474"/>
      <c r="AK474"/>
      <c r="AL474"/>
      <c r="AM474"/>
      <c r="AN474"/>
      <c r="AO474" s="148">
        <f t="shared" si="164"/>
        <v>8.9245000000000019</v>
      </c>
      <c r="AP474" s="195">
        <v>361</v>
      </c>
      <c r="AQ474" s="195" t="s">
        <v>519</v>
      </c>
      <c r="AR474" s="195" t="s">
        <v>524</v>
      </c>
      <c r="AS474" s="195" t="s">
        <v>529</v>
      </c>
      <c r="AT474" s="195" t="s">
        <v>527</v>
      </c>
      <c r="AU474" s="195" t="s">
        <v>530</v>
      </c>
      <c r="AV474" s="195" t="s">
        <v>522</v>
      </c>
      <c r="AW474" s="195" t="s">
        <v>525</v>
      </c>
      <c r="AX474" s="195" t="s">
        <v>520</v>
      </c>
      <c r="AZ474"/>
      <c r="BA474"/>
      <c r="BB474"/>
      <c r="BC474"/>
      <c r="BD474"/>
      <c r="BE474"/>
      <c r="BF474" s="152"/>
      <c r="BG474" s="152"/>
    </row>
    <row r="475" spans="1:59" s="90" customFormat="1" ht="14.25" customHeight="1" x14ac:dyDescent="0.2">
      <c r="A475" s="127"/>
      <c r="B475"/>
      <c r="C475" s="134"/>
      <c r="D475"/>
      <c r="E475"/>
      <c r="F475"/>
      <c r="G475"/>
      <c r="H475"/>
      <c r="I475"/>
      <c r="J475"/>
      <c r="K475"/>
      <c r="L475"/>
      <c r="M475"/>
      <c r="N475"/>
      <c r="O475"/>
      <c r="P475"/>
      <c r="Q475"/>
      <c r="R475"/>
      <c r="S475"/>
      <c r="T475"/>
      <c r="U475"/>
      <c r="V475"/>
      <c r="W475"/>
      <c r="X475" s="66"/>
      <c r="Y475" s="4"/>
      <c r="Z475" s="4"/>
      <c r="AA475" s="4"/>
      <c r="AB475" s="4"/>
      <c r="AC475" s="4"/>
      <c r="AD475" s="4"/>
      <c r="AE475" s="4"/>
      <c r="AF475" s="4"/>
      <c r="AG475"/>
      <c r="AH475"/>
      <c r="AI475"/>
      <c r="AJ475"/>
      <c r="AK475"/>
      <c r="AL475"/>
      <c r="AM475"/>
      <c r="AN475"/>
      <c r="AO475" s="148">
        <f t="shared" si="164"/>
        <v>8.9258000000000006</v>
      </c>
      <c r="AP475" s="195">
        <v>362</v>
      </c>
      <c r="AQ475" s="195" t="s">
        <v>519</v>
      </c>
      <c r="AR475" s="195" t="s">
        <v>524</v>
      </c>
      <c r="AS475" s="195" t="s">
        <v>529</v>
      </c>
      <c r="AT475" s="195" t="s">
        <v>527</v>
      </c>
      <c r="AU475" s="195" t="s">
        <v>530</v>
      </c>
      <c r="AV475" s="195" t="s">
        <v>522</v>
      </c>
      <c r="AW475" s="195" t="s">
        <v>520</v>
      </c>
      <c r="AX475" s="195" t="s">
        <v>526</v>
      </c>
      <c r="AZ475"/>
      <c r="BA475"/>
      <c r="BB475"/>
      <c r="BC475"/>
      <c r="BD475"/>
      <c r="BE475"/>
      <c r="BF475" s="152"/>
      <c r="BG475" s="152"/>
    </row>
    <row r="476" spans="1:59" s="90" customFormat="1" ht="14.25" customHeight="1" x14ac:dyDescent="0.2">
      <c r="A476" s="127"/>
      <c r="B476"/>
      <c r="C476" s="134"/>
      <c r="D476"/>
      <c r="E476"/>
      <c r="F476"/>
      <c r="G476"/>
      <c r="H476"/>
      <c r="I476"/>
      <c r="J476"/>
      <c r="K476"/>
      <c r="L476"/>
      <c r="M476"/>
      <c r="N476"/>
      <c r="O476"/>
      <c r="P476"/>
      <c r="Q476"/>
      <c r="R476"/>
      <c r="S476"/>
      <c r="T476"/>
      <c r="U476"/>
      <c r="V476"/>
      <c r="W476"/>
      <c r="X476" s="66"/>
      <c r="Y476" s="4"/>
      <c r="Z476" s="4"/>
      <c r="AA476" s="4"/>
      <c r="AB476" s="4"/>
      <c r="AC476" s="4"/>
      <c r="AD476" s="4"/>
      <c r="AE476" s="4"/>
      <c r="AF476" s="4"/>
      <c r="AG476"/>
      <c r="AH476"/>
      <c r="AI476"/>
      <c r="AJ476"/>
      <c r="AK476"/>
      <c r="AL476"/>
      <c r="AM476"/>
      <c r="AN476"/>
      <c r="AO476" s="148">
        <f t="shared" si="164"/>
        <v>8.9248000000000012</v>
      </c>
      <c r="AP476" s="195">
        <v>363</v>
      </c>
      <c r="AQ476" s="195" t="s">
        <v>519</v>
      </c>
      <c r="AR476" s="195" t="s">
        <v>524</v>
      </c>
      <c r="AS476" s="195" t="s">
        <v>529</v>
      </c>
      <c r="AT476" s="195" t="s">
        <v>527</v>
      </c>
      <c r="AU476" s="195" t="s">
        <v>530</v>
      </c>
      <c r="AV476" s="195" t="s">
        <v>522</v>
      </c>
      <c r="AW476" s="195" t="s">
        <v>525</v>
      </c>
      <c r="AX476" s="195" t="s">
        <v>521</v>
      </c>
      <c r="AZ476"/>
      <c r="BA476"/>
      <c r="BB476"/>
      <c r="BC476"/>
      <c r="BD476"/>
      <c r="BE476"/>
      <c r="BF476" s="152"/>
      <c r="BG476" s="152"/>
    </row>
    <row r="477" spans="1:59" s="90" customFormat="1" ht="14.25" customHeight="1" x14ac:dyDescent="0.2">
      <c r="A477" s="127"/>
      <c r="B477"/>
      <c r="C477" s="134"/>
      <c r="D477"/>
      <c r="E477"/>
      <c r="F477"/>
      <c r="G477"/>
      <c r="H477"/>
      <c r="I477"/>
      <c r="J477"/>
      <c r="K477"/>
      <c r="L477"/>
      <c r="M477"/>
      <c r="N477"/>
      <c r="O477"/>
      <c r="P477"/>
      <c r="Q477"/>
      <c r="R477"/>
      <c r="S477"/>
      <c r="T477"/>
      <c r="U477"/>
      <c r="V477"/>
      <c r="W477"/>
      <c r="X477" s="66"/>
      <c r="Y477" s="4"/>
      <c r="Z477" s="4"/>
      <c r="AA477" s="4"/>
      <c r="AB477" s="4"/>
      <c r="AC477" s="4"/>
      <c r="AD477" s="4"/>
      <c r="AE477" s="4"/>
      <c r="AF477" s="4"/>
      <c r="AG477"/>
      <c r="AH477"/>
      <c r="AI477"/>
      <c r="AJ477"/>
      <c r="AK477"/>
      <c r="AL477"/>
      <c r="AM477"/>
      <c r="AN477"/>
      <c r="AO477" s="148">
        <f t="shared" si="164"/>
        <v>8.9261000000000017</v>
      </c>
      <c r="AP477" s="195">
        <v>364</v>
      </c>
      <c r="AQ477" s="195" t="s">
        <v>519</v>
      </c>
      <c r="AR477" s="195" t="s">
        <v>524</v>
      </c>
      <c r="AS477" s="195" t="s">
        <v>529</v>
      </c>
      <c r="AT477" s="195" t="s">
        <v>527</v>
      </c>
      <c r="AU477" s="195" t="s">
        <v>530</v>
      </c>
      <c r="AV477" s="195" t="s">
        <v>522</v>
      </c>
      <c r="AW477" s="195" t="s">
        <v>521</v>
      </c>
      <c r="AX477" s="195" t="s">
        <v>526</v>
      </c>
      <c r="AZ477"/>
      <c r="BA477"/>
      <c r="BB477"/>
      <c r="BC477"/>
      <c r="BD477"/>
      <c r="BE477"/>
      <c r="BF477" s="152"/>
      <c r="BG477" s="152"/>
    </row>
    <row r="478" spans="1:59" s="90" customFormat="1" ht="14.25" customHeight="1" x14ac:dyDescent="0.2">
      <c r="A478" s="127"/>
      <c r="B478"/>
      <c r="C478" s="134"/>
      <c r="D478"/>
      <c r="E478"/>
      <c r="F478"/>
      <c r="G478"/>
      <c r="H478"/>
      <c r="I478"/>
      <c r="J478"/>
      <c r="K478"/>
      <c r="L478"/>
      <c r="M478"/>
      <c r="N478"/>
      <c r="O478"/>
      <c r="P478"/>
      <c r="Q478"/>
      <c r="R478"/>
      <c r="S478"/>
      <c r="T478"/>
      <c r="U478"/>
      <c r="V478"/>
      <c r="W478"/>
      <c r="X478" s="66"/>
      <c r="Y478" s="4"/>
      <c r="Z478" s="4"/>
      <c r="AA478" s="4"/>
      <c r="AB478" s="4"/>
      <c r="AC478" s="4"/>
      <c r="AD478" s="4"/>
      <c r="AE478" s="4"/>
      <c r="AF478" s="4"/>
      <c r="AG478"/>
      <c r="AH478"/>
      <c r="AI478"/>
      <c r="AJ478"/>
      <c r="AK478"/>
      <c r="AL478"/>
      <c r="AM478"/>
      <c r="AN478"/>
      <c r="AO478" s="148">
        <f t="shared" si="164"/>
        <v>8.9243000000000006</v>
      </c>
      <c r="AP478" s="195">
        <v>365</v>
      </c>
      <c r="AQ478" s="195" t="s">
        <v>519</v>
      </c>
      <c r="AR478" s="195" t="s">
        <v>524</v>
      </c>
      <c r="AS478" s="195" t="s">
        <v>529</v>
      </c>
      <c r="AT478" s="195" t="s">
        <v>527</v>
      </c>
      <c r="AU478" s="195" t="s">
        <v>530</v>
      </c>
      <c r="AV478" s="195" t="s">
        <v>522</v>
      </c>
      <c r="AW478" s="195" t="s">
        <v>521</v>
      </c>
      <c r="AX478" s="195" t="s">
        <v>520</v>
      </c>
      <c r="AZ478"/>
      <c r="BA478"/>
      <c r="BB478"/>
      <c r="BC478"/>
      <c r="BD478"/>
      <c r="BE478"/>
      <c r="BF478" s="152"/>
      <c r="BG478" s="152"/>
    </row>
    <row r="479" spans="1:59" s="90" customFormat="1" ht="14.25" customHeight="1" x14ac:dyDescent="0.2">
      <c r="A479" s="127"/>
      <c r="B479"/>
      <c r="C479" s="134"/>
      <c r="D479"/>
      <c r="E479"/>
      <c r="F479"/>
      <c r="G479"/>
      <c r="H479"/>
      <c r="I479"/>
      <c r="J479"/>
      <c r="K479"/>
      <c r="L479"/>
      <c r="M479"/>
      <c r="N479"/>
      <c r="O479"/>
      <c r="P479"/>
      <c r="Q479"/>
      <c r="R479"/>
      <c r="S479"/>
      <c r="T479"/>
      <c r="U479"/>
      <c r="V479"/>
      <c r="W479"/>
      <c r="X479" s="66"/>
      <c r="Y479" s="4"/>
      <c r="Z479" s="4"/>
      <c r="AA479" s="4"/>
      <c r="AB479" s="4"/>
      <c r="AC479" s="4"/>
      <c r="AD479" s="4"/>
      <c r="AE479" s="4"/>
      <c r="AF479" s="4"/>
      <c r="AG479"/>
      <c r="AH479"/>
      <c r="AI479"/>
      <c r="AJ479"/>
      <c r="AK479"/>
      <c r="AL479"/>
      <c r="AM479"/>
      <c r="AN479"/>
      <c r="AO479" s="148">
        <f t="shared" si="164"/>
        <v>8.9278000000000013</v>
      </c>
      <c r="AP479" s="195">
        <v>366</v>
      </c>
      <c r="AQ479" s="195" t="s">
        <v>523</v>
      </c>
      <c r="AR479" s="195" t="s">
        <v>524</v>
      </c>
      <c r="AS479" s="195" t="s">
        <v>529</v>
      </c>
      <c r="AT479" s="195" t="s">
        <v>527</v>
      </c>
      <c r="AU479" s="195" t="s">
        <v>530</v>
      </c>
      <c r="AV479" s="195" t="s">
        <v>522</v>
      </c>
      <c r="AW479" s="195" t="s">
        <v>525</v>
      </c>
      <c r="AX479" s="195" t="s">
        <v>519</v>
      </c>
      <c r="AZ479"/>
      <c r="BA479"/>
      <c r="BB479"/>
      <c r="BC479"/>
      <c r="BD479"/>
      <c r="BE479"/>
      <c r="BF479" s="152"/>
      <c r="BG479" s="152"/>
    </row>
    <row r="480" spans="1:59" s="90" customFormat="1" ht="14.25" customHeight="1" x14ac:dyDescent="0.2">
      <c r="A480" s="127"/>
      <c r="B480"/>
      <c r="C480" s="134"/>
      <c r="D480"/>
      <c r="E480"/>
      <c r="F480"/>
      <c r="G480"/>
      <c r="H480"/>
      <c r="I480"/>
      <c r="J480"/>
      <c r="K480"/>
      <c r="L480"/>
      <c r="M480"/>
      <c r="N480"/>
      <c r="O480"/>
      <c r="P480"/>
      <c r="Q480"/>
      <c r="R480"/>
      <c r="S480"/>
      <c r="T480"/>
      <c r="U480"/>
      <c r="V480"/>
      <c r="W480"/>
      <c r="X480" s="66"/>
      <c r="Y480" s="4"/>
      <c r="Z480" s="4"/>
      <c r="AA480" s="4"/>
      <c r="AB480" s="4"/>
      <c r="AC480" s="4"/>
      <c r="AD480" s="4"/>
      <c r="AE480" s="4"/>
      <c r="AF480" s="4"/>
      <c r="AG480"/>
      <c r="AH480"/>
      <c r="AI480"/>
      <c r="AJ480"/>
      <c r="AK480"/>
      <c r="AL480"/>
      <c r="AM480"/>
      <c r="AN480"/>
      <c r="AO480" s="148">
        <f t="shared" si="164"/>
        <v>8.9291000000000018</v>
      </c>
      <c r="AP480" s="195">
        <v>367</v>
      </c>
      <c r="AQ480" s="195" t="s">
        <v>523</v>
      </c>
      <c r="AR480" s="195" t="s">
        <v>524</v>
      </c>
      <c r="AS480" s="195" t="s">
        <v>529</v>
      </c>
      <c r="AT480" s="195" t="s">
        <v>527</v>
      </c>
      <c r="AU480" s="195" t="s">
        <v>530</v>
      </c>
      <c r="AV480" s="195" t="s">
        <v>522</v>
      </c>
      <c r="AW480" s="195" t="s">
        <v>519</v>
      </c>
      <c r="AX480" s="195" t="s">
        <v>526</v>
      </c>
      <c r="AZ480"/>
      <c r="BA480"/>
      <c r="BB480"/>
      <c r="BC480"/>
      <c r="BD480"/>
      <c r="BE480"/>
      <c r="BF480" s="152"/>
      <c r="BG480" s="152"/>
    </row>
    <row r="481" spans="1:59" s="90" customFormat="1" ht="14.25" customHeight="1" x14ac:dyDescent="0.2">
      <c r="A481" s="127"/>
      <c r="B481"/>
      <c r="C481" s="134"/>
      <c r="D481"/>
      <c r="E481"/>
      <c r="F481"/>
      <c r="G481"/>
      <c r="H481"/>
      <c r="I481"/>
      <c r="J481"/>
      <c r="K481"/>
      <c r="L481"/>
      <c r="M481"/>
      <c r="N481"/>
      <c r="O481"/>
      <c r="P481"/>
      <c r="Q481"/>
      <c r="R481"/>
      <c r="S481"/>
      <c r="T481"/>
      <c r="U481"/>
      <c r="V481"/>
      <c r="W481"/>
      <c r="X481" s="66"/>
      <c r="Y481" s="4"/>
      <c r="Z481" s="4"/>
      <c r="AA481" s="4"/>
      <c r="AB481" s="4"/>
      <c r="AC481" s="4"/>
      <c r="AD481" s="4"/>
      <c r="AE481" s="4"/>
      <c r="AF481" s="4"/>
      <c r="AG481"/>
      <c r="AH481"/>
      <c r="AI481"/>
      <c r="AJ481"/>
      <c r="AK481"/>
      <c r="AL481"/>
      <c r="AM481"/>
      <c r="AN481"/>
      <c r="AO481" s="148">
        <f t="shared" si="164"/>
        <v>8.9273000000000007</v>
      </c>
      <c r="AP481" s="195">
        <v>368</v>
      </c>
      <c r="AQ481" s="195" t="s">
        <v>523</v>
      </c>
      <c r="AR481" s="195" t="s">
        <v>524</v>
      </c>
      <c r="AS481" s="195" t="s">
        <v>529</v>
      </c>
      <c r="AT481" s="195" t="s">
        <v>527</v>
      </c>
      <c r="AU481" s="195" t="s">
        <v>530</v>
      </c>
      <c r="AV481" s="195" t="s">
        <v>522</v>
      </c>
      <c r="AW481" s="195" t="s">
        <v>519</v>
      </c>
      <c r="AX481" s="195" t="s">
        <v>520</v>
      </c>
      <c r="AZ481"/>
      <c r="BA481"/>
      <c r="BB481"/>
      <c r="BC481"/>
      <c r="BD481"/>
      <c r="BE481"/>
      <c r="BF481" s="152"/>
      <c r="BG481" s="152"/>
    </row>
    <row r="482" spans="1:59" s="90" customFormat="1" ht="14.25" customHeight="1" x14ac:dyDescent="0.2">
      <c r="A482" s="127"/>
      <c r="B482"/>
      <c r="C482" s="134"/>
      <c r="D482"/>
      <c r="E482"/>
      <c r="F482"/>
      <c r="G482"/>
      <c r="H482"/>
      <c r="I482"/>
      <c r="J482"/>
      <c r="K482"/>
      <c r="L482"/>
      <c r="M482"/>
      <c r="N482"/>
      <c r="O482"/>
      <c r="P482"/>
      <c r="Q482"/>
      <c r="R482"/>
      <c r="S482"/>
      <c r="T482"/>
      <c r="U482"/>
      <c r="V482"/>
      <c r="W482"/>
      <c r="X482" s="66"/>
      <c r="Y482" s="4"/>
      <c r="Z482" s="4"/>
      <c r="AA482" s="4"/>
      <c r="AB482" s="4"/>
      <c r="AC482" s="4"/>
      <c r="AD482" s="4"/>
      <c r="AE482" s="4"/>
      <c r="AF482" s="4"/>
      <c r="AG482"/>
      <c r="AH482"/>
      <c r="AI482"/>
      <c r="AJ482"/>
      <c r="AK482"/>
      <c r="AL482"/>
      <c r="AM482"/>
      <c r="AN482"/>
      <c r="AO482" s="148">
        <f t="shared" si="164"/>
        <v>8.9276000000000018</v>
      </c>
      <c r="AP482" s="195">
        <v>369</v>
      </c>
      <c r="AQ482" s="195" t="s">
        <v>523</v>
      </c>
      <c r="AR482" s="195" t="s">
        <v>524</v>
      </c>
      <c r="AS482" s="195" t="s">
        <v>529</v>
      </c>
      <c r="AT482" s="195" t="s">
        <v>527</v>
      </c>
      <c r="AU482" s="195" t="s">
        <v>530</v>
      </c>
      <c r="AV482" s="195" t="s">
        <v>522</v>
      </c>
      <c r="AW482" s="195" t="s">
        <v>519</v>
      </c>
      <c r="AX482" s="195" t="s">
        <v>521</v>
      </c>
      <c r="AZ482"/>
      <c r="BA482"/>
      <c r="BB482"/>
      <c r="BC482"/>
      <c r="BD482"/>
      <c r="BE482"/>
      <c r="BF482" s="152"/>
      <c r="BG482" s="152"/>
    </row>
    <row r="483" spans="1:59" s="90" customFormat="1" ht="14.25" customHeight="1" x14ac:dyDescent="0.2">
      <c r="A483" s="127"/>
      <c r="B483"/>
      <c r="C483" s="134"/>
      <c r="D483"/>
      <c r="E483"/>
      <c r="F483"/>
      <c r="G483"/>
      <c r="H483"/>
      <c r="I483"/>
      <c r="J483"/>
      <c r="K483"/>
      <c r="L483"/>
      <c r="M483"/>
      <c r="N483"/>
      <c r="O483"/>
      <c r="P483"/>
      <c r="Q483"/>
      <c r="R483"/>
      <c r="S483"/>
      <c r="T483"/>
      <c r="U483"/>
      <c r="V483"/>
      <c r="W483"/>
      <c r="X483" s="66"/>
      <c r="Y483" s="4"/>
      <c r="Z483" s="4"/>
      <c r="AA483" s="4"/>
      <c r="AB483" s="4"/>
      <c r="AC483" s="4"/>
      <c r="AD483" s="4"/>
      <c r="AE483" s="4"/>
      <c r="AF483" s="4"/>
      <c r="AG483"/>
      <c r="AH483"/>
      <c r="AI483"/>
      <c r="AJ483"/>
      <c r="AK483"/>
      <c r="AL483"/>
      <c r="AM483"/>
      <c r="AN483"/>
      <c r="AO483" s="148">
        <f t="shared" si="164"/>
        <v>8.9298000000000002</v>
      </c>
      <c r="AP483" s="195">
        <v>370</v>
      </c>
      <c r="AQ483" s="195" t="s">
        <v>521</v>
      </c>
      <c r="AR483" s="195" t="s">
        <v>520</v>
      </c>
      <c r="AS483" s="195" t="s">
        <v>529</v>
      </c>
      <c r="AT483" s="195" t="s">
        <v>528</v>
      </c>
      <c r="AU483" s="195" t="s">
        <v>530</v>
      </c>
      <c r="AV483" s="195" t="s">
        <v>523</v>
      </c>
      <c r="AW483" s="195" t="s">
        <v>525</v>
      </c>
      <c r="AX483" s="195" t="s">
        <v>526</v>
      </c>
      <c r="AZ483"/>
      <c r="BA483"/>
      <c r="BB483"/>
      <c r="BC483"/>
      <c r="BD483"/>
      <c r="BE483"/>
      <c r="BF483" s="152"/>
      <c r="BG483" s="152"/>
    </row>
    <row r="484" spans="1:59" s="90" customFormat="1" ht="14.25" customHeight="1" x14ac:dyDescent="0.2">
      <c r="A484" s="127"/>
      <c r="B484"/>
      <c r="C484" s="134"/>
      <c r="D484"/>
      <c r="E484"/>
      <c r="F484"/>
      <c r="G484"/>
      <c r="H484"/>
      <c r="I484"/>
      <c r="J484"/>
      <c r="K484"/>
      <c r="L484"/>
      <c r="M484"/>
      <c r="N484"/>
      <c r="O484"/>
      <c r="P484"/>
      <c r="Q484"/>
      <c r="R484"/>
      <c r="S484"/>
      <c r="T484"/>
      <c r="U484"/>
      <c r="V484"/>
      <c r="W484"/>
      <c r="X484" s="66"/>
      <c r="Y484" s="4"/>
      <c r="Z484" s="4"/>
      <c r="AA484" s="4"/>
      <c r="AB484" s="4"/>
      <c r="AC484" s="4"/>
      <c r="AD484" s="4"/>
      <c r="AE484" s="4"/>
      <c r="AF484" s="4"/>
      <c r="AG484"/>
      <c r="AH484"/>
      <c r="AI484"/>
      <c r="AJ484"/>
      <c r="AK484"/>
      <c r="AL484"/>
      <c r="AM484"/>
      <c r="AN484"/>
      <c r="AO484" s="148">
        <f t="shared" si="164"/>
        <v>8.9266000000000005</v>
      </c>
      <c r="AP484" s="195">
        <v>371</v>
      </c>
      <c r="AQ484" s="195" t="s">
        <v>521</v>
      </c>
      <c r="AR484" s="195" t="s">
        <v>520</v>
      </c>
      <c r="AS484" s="195" t="s">
        <v>529</v>
      </c>
      <c r="AT484" s="195" t="s">
        <v>528</v>
      </c>
      <c r="AU484" s="195" t="s">
        <v>530</v>
      </c>
      <c r="AV484" s="195" t="s">
        <v>524</v>
      </c>
      <c r="AW484" s="195" t="s">
        <v>525</v>
      </c>
      <c r="AX484" s="195" t="s">
        <v>526</v>
      </c>
      <c r="AZ484"/>
      <c r="BA484"/>
      <c r="BB484"/>
      <c r="BC484"/>
      <c r="BD484"/>
      <c r="BE484"/>
      <c r="BF484" s="152"/>
      <c r="BG484" s="152"/>
    </row>
    <row r="485" spans="1:59" s="90" customFormat="1" ht="14.25" customHeight="1" x14ac:dyDescent="0.2">
      <c r="A485" s="127"/>
      <c r="B485"/>
      <c r="C485" s="134"/>
      <c r="D485"/>
      <c r="E485"/>
      <c r="F485"/>
      <c r="G485"/>
      <c r="H485"/>
      <c r="I485"/>
      <c r="J485"/>
      <c r="K485"/>
      <c r="L485"/>
      <c r="M485"/>
      <c r="N485"/>
      <c r="O485"/>
      <c r="P485"/>
      <c r="Q485"/>
      <c r="R485"/>
      <c r="S485"/>
      <c r="T485"/>
      <c r="U485"/>
      <c r="V485"/>
      <c r="W485"/>
      <c r="X485" s="66"/>
      <c r="Y485" s="4"/>
      <c r="Z485" s="4"/>
      <c r="AA485" s="4"/>
      <c r="AB485" s="4"/>
      <c r="AC485" s="4"/>
      <c r="AD485" s="4"/>
      <c r="AE485" s="4"/>
      <c r="AF485" s="4"/>
      <c r="AG485"/>
      <c r="AH485"/>
      <c r="AI485"/>
      <c r="AJ485"/>
      <c r="AK485"/>
      <c r="AL485"/>
      <c r="AM485"/>
      <c r="AN485"/>
      <c r="AO485" s="148">
        <f t="shared" si="164"/>
        <v>8.9296000000000006</v>
      </c>
      <c r="AP485" s="195">
        <v>372</v>
      </c>
      <c r="AQ485" s="195" t="s">
        <v>523</v>
      </c>
      <c r="AR485" s="195" t="s">
        <v>520</v>
      </c>
      <c r="AS485" s="195" t="s">
        <v>529</v>
      </c>
      <c r="AT485" s="195" t="s">
        <v>528</v>
      </c>
      <c r="AU485" s="195" t="s">
        <v>530</v>
      </c>
      <c r="AV485" s="195" t="s">
        <v>524</v>
      </c>
      <c r="AW485" s="195" t="s">
        <v>525</v>
      </c>
      <c r="AX485" s="195" t="s">
        <v>526</v>
      </c>
      <c r="AZ485"/>
      <c r="BA485"/>
      <c r="BB485"/>
      <c r="BC485"/>
      <c r="BD485"/>
      <c r="BE485"/>
      <c r="BF485" s="152"/>
      <c r="BG485" s="152"/>
    </row>
    <row r="486" spans="1:59" s="90" customFormat="1" ht="14.25" customHeight="1" x14ac:dyDescent="0.2">
      <c r="A486" s="127"/>
      <c r="B486"/>
      <c r="C486" s="134"/>
      <c r="D486"/>
      <c r="E486"/>
      <c r="F486"/>
      <c r="G486"/>
      <c r="H486"/>
      <c r="I486"/>
      <c r="J486"/>
      <c r="K486"/>
      <c r="L486"/>
      <c r="M486"/>
      <c r="N486"/>
      <c r="O486"/>
      <c r="P486"/>
      <c r="Q486"/>
      <c r="R486"/>
      <c r="S486"/>
      <c r="T486"/>
      <c r="U486"/>
      <c r="V486"/>
      <c r="W486"/>
      <c r="X486" s="66"/>
      <c r="Y486" s="4"/>
      <c r="Z486" s="4"/>
      <c r="AA486" s="4"/>
      <c r="AB486" s="4"/>
      <c r="AC486" s="4"/>
      <c r="AD486" s="4"/>
      <c r="AE486" s="4"/>
      <c r="AF486" s="4"/>
      <c r="AG486"/>
      <c r="AH486"/>
      <c r="AI486"/>
      <c r="AJ486"/>
      <c r="AK486"/>
      <c r="AL486"/>
      <c r="AM486"/>
      <c r="AN486"/>
      <c r="AO486" s="148">
        <f t="shared" si="164"/>
        <v>8.9299000000000017</v>
      </c>
      <c r="AP486" s="195">
        <v>373</v>
      </c>
      <c r="AQ486" s="195" t="s">
        <v>521</v>
      </c>
      <c r="AR486" s="195" t="s">
        <v>524</v>
      </c>
      <c r="AS486" s="195" t="s">
        <v>529</v>
      </c>
      <c r="AT486" s="195" t="s">
        <v>528</v>
      </c>
      <c r="AU486" s="195" t="s">
        <v>530</v>
      </c>
      <c r="AV486" s="195" t="s">
        <v>523</v>
      </c>
      <c r="AW486" s="195" t="s">
        <v>525</v>
      </c>
      <c r="AX486" s="195" t="s">
        <v>526</v>
      </c>
      <c r="AZ486"/>
      <c r="BA486"/>
      <c r="BB486"/>
      <c r="BC486"/>
      <c r="BD486"/>
      <c r="BE486"/>
      <c r="BF486" s="152"/>
      <c r="BG486" s="152"/>
    </row>
    <row r="487" spans="1:59" s="90" customFormat="1" ht="14.25" customHeight="1" x14ac:dyDescent="0.2">
      <c r="A487" s="127"/>
      <c r="B487"/>
      <c r="C487" s="134"/>
      <c r="D487"/>
      <c r="E487"/>
      <c r="F487"/>
      <c r="G487"/>
      <c r="H487"/>
      <c r="I487"/>
      <c r="J487"/>
      <c r="K487"/>
      <c r="L487"/>
      <c r="M487"/>
      <c r="N487"/>
      <c r="O487"/>
      <c r="P487"/>
      <c r="Q487"/>
      <c r="R487"/>
      <c r="S487"/>
      <c r="T487"/>
      <c r="U487"/>
      <c r="V487"/>
      <c r="W487"/>
      <c r="X487" s="66"/>
      <c r="Y487" s="4"/>
      <c r="Z487" s="4"/>
      <c r="AA487" s="4"/>
      <c r="AB487" s="4"/>
      <c r="AC487" s="4"/>
      <c r="AD487" s="4"/>
      <c r="AE487" s="4"/>
      <c r="AF487" s="4"/>
      <c r="AG487"/>
      <c r="AH487"/>
      <c r="AI487"/>
      <c r="AJ487"/>
      <c r="AK487"/>
      <c r="AL487"/>
      <c r="AM487"/>
      <c r="AN487"/>
      <c r="AO487" s="148">
        <f t="shared" si="164"/>
        <v>8.9281000000000024</v>
      </c>
      <c r="AP487" s="195">
        <v>374</v>
      </c>
      <c r="AQ487" s="195" t="s">
        <v>523</v>
      </c>
      <c r="AR487" s="195" t="s">
        <v>520</v>
      </c>
      <c r="AS487" s="195" t="s">
        <v>529</v>
      </c>
      <c r="AT487" s="195" t="s">
        <v>528</v>
      </c>
      <c r="AU487" s="195" t="s">
        <v>530</v>
      </c>
      <c r="AV487" s="195" t="s">
        <v>524</v>
      </c>
      <c r="AW487" s="195" t="s">
        <v>525</v>
      </c>
      <c r="AX487" s="195" t="s">
        <v>521</v>
      </c>
      <c r="AZ487"/>
      <c r="BA487"/>
      <c r="BB487"/>
      <c r="BC487"/>
      <c r="BD487"/>
      <c r="BE487"/>
      <c r="BF487" s="152"/>
      <c r="BG487" s="152"/>
    </row>
    <row r="488" spans="1:59" s="90" customFormat="1" ht="14.25" customHeight="1" x14ac:dyDescent="0.2">
      <c r="A488" s="127"/>
      <c r="B488"/>
      <c r="C488" s="134"/>
      <c r="D488"/>
      <c r="E488"/>
      <c r="F488"/>
      <c r="G488"/>
      <c r="H488"/>
      <c r="I488"/>
      <c r="J488"/>
      <c r="K488"/>
      <c r="L488"/>
      <c r="M488"/>
      <c r="N488"/>
      <c r="O488"/>
      <c r="P488"/>
      <c r="Q488"/>
      <c r="R488"/>
      <c r="S488"/>
      <c r="T488"/>
      <c r="U488"/>
      <c r="V488"/>
      <c r="W488"/>
      <c r="X488" s="66"/>
      <c r="Y488" s="4"/>
      <c r="Z488" s="4"/>
      <c r="AA488" s="4"/>
      <c r="AB488" s="4"/>
      <c r="AC488" s="4"/>
      <c r="AD488" s="4"/>
      <c r="AE488" s="4"/>
      <c r="AF488" s="4"/>
      <c r="AG488"/>
      <c r="AH488"/>
      <c r="AI488"/>
      <c r="AJ488"/>
      <c r="AK488"/>
      <c r="AL488"/>
      <c r="AM488"/>
      <c r="AN488"/>
      <c r="AO488" s="148">
        <f t="shared" si="164"/>
        <v>8.9294000000000011</v>
      </c>
      <c r="AP488" s="195">
        <v>375</v>
      </c>
      <c r="AQ488" s="195" t="s">
        <v>523</v>
      </c>
      <c r="AR488" s="195" t="s">
        <v>520</v>
      </c>
      <c r="AS488" s="195" t="s">
        <v>529</v>
      </c>
      <c r="AT488" s="195" t="s">
        <v>528</v>
      </c>
      <c r="AU488" s="195" t="s">
        <v>530</v>
      </c>
      <c r="AV488" s="195" t="s">
        <v>524</v>
      </c>
      <c r="AW488" s="195" t="s">
        <v>521</v>
      </c>
      <c r="AX488" s="195" t="s">
        <v>526</v>
      </c>
      <c r="AZ488"/>
      <c r="BA488"/>
      <c r="BB488"/>
      <c r="BC488"/>
      <c r="BD488"/>
      <c r="BE488"/>
      <c r="BF488" s="152"/>
      <c r="BG488" s="152"/>
    </row>
    <row r="489" spans="1:59" s="90" customFormat="1" ht="14.25" customHeight="1" x14ac:dyDescent="0.2">
      <c r="A489" s="127"/>
      <c r="B489"/>
      <c r="C489" s="134"/>
      <c r="D489"/>
      <c r="E489"/>
      <c r="F489"/>
      <c r="G489"/>
      <c r="H489"/>
      <c r="I489"/>
      <c r="J489"/>
      <c r="K489"/>
      <c r="L489"/>
      <c r="M489"/>
      <c r="N489"/>
      <c r="O489"/>
      <c r="P489"/>
      <c r="Q489"/>
      <c r="R489"/>
      <c r="S489"/>
      <c r="T489"/>
      <c r="U489"/>
      <c r="V489"/>
      <c r="W489"/>
      <c r="X489" s="66"/>
      <c r="Y489" s="4"/>
      <c r="Z489" s="4"/>
      <c r="AA489" s="4"/>
      <c r="AB489" s="4"/>
      <c r="AC489" s="4"/>
      <c r="AD489" s="4"/>
      <c r="AE489" s="4"/>
      <c r="AF489" s="4"/>
      <c r="AG489"/>
      <c r="AH489"/>
      <c r="AI489"/>
      <c r="AJ489"/>
      <c r="AK489"/>
      <c r="AL489"/>
      <c r="AM489"/>
      <c r="AN489"/>
      <c r="AO489" s="148">
        <f t="shared" si="164"/>
        <v>8.927500000000002</v>
      </c>
      <c r="AP489" s="195">
        <v>376</v>
      </c>
      <c r="AQ489" s="195" t="s">
        <v>521</v>
      </c>
      <c r="AR489" s="195" t="s">
        <v>520</v>
      </c>
      <c r="AS489" s="195" t="s">
        <v>529</v>
      </c>
      <c r="AT489" s="195" t="s">
        <v>528</v>
      </c>
      <c r="AU489" s="195" t="s">
        <v>530</v>
      </c>
      <c r="AV489" s="195" t="s">
        <v>522</v>
      </c>
      <c r="AW489" s="195" t="s">
        <v>525</v>
      </c>
      <c r="AX489" s="195" t="s">
        <v>526</v>
      </c>
      <c r="AZ489"/>
      <c r="BA489"/>
      <c r="BB489"/>
      <c r="BC489"/>
      <c r="BD489"/>
      <c r="BE489"/>
      <c r="BF489" s="152"/>
      <c r="BG489" s="152"/>
    </row>
    <row r="490" spans="1:59" s="90" customFormat="1" ht="14.25" customHeight="1" x14ac:dyDescent="0.2">
      <c r="A490" s="127"/>
      <c r="B490"/>
      <c r="C490" s="134"/>
      <c r="D490"/>
      <c r="E490"/>
      <c r="F490"/>
      <c r="G490"/>
      <c r="H490"/>
      <c r="I490"/>
      <c r="J490"/>
      <c r="K490"/>
      <c r="L490"/>
      <c r="M490"/>
      <c r="N490"/>
      <c r="O490"/>
      <c r="P490"/>
      <c r="Q490"/>
      <c r="R490"/>
      <c r="S490"/>
      <c r="T490"/>
      <c r="U490"/>
      <c r="V490"/>
      <c r="W490"/>
      <c r="X490" s="66"/>
      <c r="Y490" s="4"/>
      <c r="Z490" s="4"/>
      <c r="AA490" s="4"/>
      <c r="AB490" s="4"/>
      <c r="AC490" s="4"/>
      <c r="AD490" s="4"/>
      <c r="AE490" s="4"/>
      <c r="AF490" s="4"/>
      <c r="AG490"/>
      <c r="AH490"/>
      <c r="AI490"/>
      <c r="AJ490"/>
      <c r="AK490"/>
      <c r="AL490"/>
      <c r="AM490"/>
      <c r="AN490"/>
      <c r="AO490" s="148">
        <f t="shared" si="164"/>
        <v>8.9305000000000021</v>
      </c>
      <c r="AP490" s="195">
        <v>377</v>
      </c>
      <c r="AQ490" s="195" t="s">
        <v>523</v>
      </c>
      <c r="AR490" s="195" t="s">
        <v>520</v>
      </c>
      <c r="AS490" s="195" t="s">
        <v>529</v>
      </c>
      <c r="AT490" s="195" t="s">
        <v>528</v>
      </c>
      <c r="AU490" s="195" t="s">
        <v>530</v>
      </c>
      <c r="AV490" s="195" t="s">
        <v>522</v>
      </c>
      <c r="AW490" s="195" t="s">
        <v>525</v>
      </c>
      <c r="AX490" s="195" t="s">
        <v>526</v>
      </c>
      <c r="AZ490"/>
      <c r="BA490"/>
      <c r="BB490"/>
      <c r="BC490"/>
      <c r="BD490"/>
      <c r="BE490"/>
      <c r="BF490" s="152"/>
      <c r="BG490" s="152"/>
    </row>
    <row r="491" spans="1:59" s="90" customFormat="1" ht="14.25" customHeight="1" x14ac:dyDescent="0.2">
      <c r="A491" s="127"/>
      <c r="B491"/>
      <c r="C491" s="134"/>
      <c r="D491"/>
      <c r="E491"/>
      <c r="F491"/>
      <c r="G491"/>
      <c r="H491"/>
      <c r="I491"/>
      <c r="J491"/>
      <c r="K491"/>
      <c r="L491"/>
      <c r="M491"/>
      <c r="N491"/>
      <c r="O491"/>
      <c r="P491"/>
      <c r="Q491"/>
      <c r="R491"/>
      <c r="S491"/>
      <c r="T491"/>
      <c r="U491"/>
      <c r="V491"/>
      <c r="W491"/>
      <c r="X491" s="66"/>
      <c r="Y491" s="4"/>
      <c r="Z491" s="4"/>
      <c r="AA491" s="4"/>
      <c r="AB491" s="4"/>
      <c r="AC491" s="4"/>
      <c r="AD491" s="4"/>
      <c r="AE491" s="4"/>
      <c r="AF491" s="4"/>
      <c r="AG491"/>
      <c r="AH491"/>
      <c r="AI491"/>
      <c r="AJ491"/>
      <c r="AK491"/>
      <c r="AL491"/>
      <c r="AM491"/>
      <c r="AN491"/>
      <c r="AO491" s="148">
        <f t="shared" si="164"/>
        <v>8.9308000000000014</v>
      </c>
      <c r="AP491" s="195">
        <v>378</v>
      </c>
      <c r="AQ491" s="195" t="s">
        <v>523</v>
      </c>
      <c r="AR491" s="195" t="s">
        <v>521</v>
      </c>
      <c r="AS491" s="195" t="s">
        <v>529</v>
      </c>
      <c r="AT491" s="195" t="s">
        <v>528</v>
      </c>
      <c r="AU491" s="195" t="s">
        <v>530</v>
      </c>
      <c r="AV491" s="195" t="s">
        <v>522</v>
      </c>
      <c r="AW491" s="195" t="s">
        <v>525</v>
      </c>
      <c r="AX491" s="195" t="s">
        <v>526</v>
      </c>
      <c r="AZ491"/>
      <c r="BA491"/>
      <c r="BB491"/>
      <c r="BC491"/>
      <c r="BD491"/>
      <c r="BE491"/>
      <c r="BF491" s="152"/>
      <c r="BG491" s="152"/>
    </row>
    <row r="492" spans="1:59" s="90" customFormat="1" ht="14.25" customHeight="1" x14ac:dyDescent="0.2">
      <c r="A492" s="127"/>
      <c r="B492"/>
      <c r="C492" s="134"/>
      <c r="D492"/>
      <c r="E492"/>
      <c r="F492"/>
      <c r="G492"/>
      <c r="H492"/>
      <c r="I492"/>
      <c r="J492"/>
      <c r="K492"/>
      <c r="L492"/>
      <c r="M492"/>
      <c r="N492"/>
      <c r="O492"/>
      <c r="P492"/>
      <c r="Q492"/>
      <c r="R492"/>
      <c r="S492"/>
      <c r="T492"/>
      <c r="U492"/>
      <c r="V492"/>
      <c r="W492"/>
      <c r="X492" s="66"/>
      <c r="Y492" s="4"/>
      <c r="Z492" s="4"/>
      <c r="AA492" s="4"/>
      <c r="AB492" s="4"/>
      <c r="AC492" s="4"/>
      <c r="AD492" s="4"/>
      <c r="AE492" s="4"/>
      <c r="AF492" s="4"/>
      <c r="AG492"/>
      <c r="AH492"/>
      <c r="AI492"/>
      <c r="AJ492"/>
      <c r="AK492"/>
      <c r="AL492"/>
      <c r="AM492"/>
      <c r="AN492"/>
      <c r="AO492" s="148">
        <f t="shared" si="164"/>
        <v>8.929000000000002</v>
      </c>
      <c r="AP492" s="195">
        <v>379</v>
      </c>
      <c r="AQ492" s="195" t="s">
        <v>523</v>
      </c>
      <c r="AR492" s="195" t="s">
        <v>520</v>
      </c>
      <c r="AS492" s="195" t="s">
        <v>529</v>
      </c>
      <c r="AT492" s="195" t="s">
        <v>528</v>
      </c>
      <c r="AU492" s="195" t="s">
        <v>530</v>
      </c>
      <c r="AV492" s="195" t="s">
        <v>522</v>
      </c>
      <c r="AW492" s="195" t="s">
        <v>525</v>
      </c>
      <c r="AX492" s="195" t="s">
        <v>521</v>
      </c>
      <c r="AZ492"/>
      <c r="BA492"/>
      <c r="BB492"/>
      <c r="BC492"/>
      <c r="BD492"/>
      <c r="BE492"/>
      <c r="BF492" s="152"/>
      <c r="BG492" s="152"/>
    </row>
    <row r="493" spans="1:59" s="90" customFormat="1" ht="14.25" customHeight="1" x14ac:dyDescent="0.2">
      <c r="A493" s="127"/>
      <c r="B493"/>
      <c r="C493" s="134"/>
      <c r="D493"/>
      <c r="E493"/>
      <c r="F493"/>
      <c r="G493"/>
      <c r="H493"/>
      <c r="I493"/>
      <c r="J493"/>
      <c r="K493"/>
      <c r="L493"/>
      <c r="M493"/>
      <c r="N493"/>
      <c r="O493"/>
      <c r="P493"/>
      <c r="Q493"/>
      <c r="R493"/>
      <c r="S493"/>
      <c r="T493"/>
      <c r="U493"/>
      <c r="V493"/>
      <c r="W493"/>
      <c r="X493" s="66"/>
      <c r="Y493" s="4"/>
      <c r="Z493" s="4"/>
      <c r="AA493" s="4"/>
      <c r="AB493" s="4"/>
      <c r="AC493" s="4"/>
      <c r="AD493" s="4"/>
      <c r="AE493" s="4"/>
      <c r="AF493" s="4"/>
      <c r="AG493"/>
      <c r="AH493"/>
      <c r="AI493"/>
      <c r="AJ493"/>
      <c r="AK493"/>
      <c r="AL493"/>
      <c r="AM493"/>
      <c r="AN493"/>
      <c r="AO493" s="148">
        <f t="shared" si="164"/>
        <v>8.9303000000000008</v>
      </c>
      <c r="AP493" s="195">
        <v>380</v>
      </c>
      <c r="AQ493" s="195" t="s">
        <v>523</v>
      </c>
      <c r="AR493" s="195" t="s">
        <v>520</v>
      </c>
      <c r="AS493" s="195" t="s">
        <v>529</v>
      </c>
      <c r="AT493" s="195" t="s">
        <v>528</v>
      </c>
      <c r="AU493" s="195" t="s">
        <v>530</v>
      </c>
      <c r="AV493" s="195" t="s">
        <v>522</v>
      </c>
      <c r="AW493" s="195" t="s">
        <v>521</v>
      </c>
      <c r="AX493" s="195" t="s">
        <v>526</v>
      </c>
      <c r="AZ493"/>
      <c r="BA493"/>
      <c r="BB493"/>
      <c r="BC493"/>
      <c r="BD493"/>
      <c r="BE493"/>
      <c r="BF493" s="152"/>
      <c r="BG493" s="152"/>
    </row>
    <row r="494" spans="1:59" s="90" customFormat="1" ht="14.25" customHeight="1" x14ac:dyDescent="0.2">
      <c r="A494" s="127"/>
      <c r="B494"/>
      <c r="C494" s="134"/>
      <c r="D494"/>
      <c r="E494"/>
      <c r="F494"/>
      <c r="G494"/>
      <c r="H494"/>
      <c r="I494"/>
      <c r="J494"/>
      <c r="K494"/>
      <c r="L494"/>
      <c r="M494"/>
      <c r="N494"/>
      <c r="O494"/>
      <c r="P494"/>
      <c r="Q494"/>
      <c r="R494"/>
      <c r="S494"/>
      <c r="T494"/>
      <c r="U494"/>
      <c r="V494"/>
      <c r="W494"/>
      <c r="X494" s="66"/>
      <c r="Y494" s="4"/>
      <c r="Z494" s="4"/>
      <c r="AA494" s="4"/>
      <c r="AB494" s="4"/>
      <c r="AC494" s="4"/>
      <c r="AD494" s="4"/>
      <c r="AE494" s="4"/>
      <c r="AF494" s="4"/>
      <c r="AG494"/>
      <c r="AH494"/>
      <c r="AI494"/>
      <c r="AJ494"/>
      <c r="AK494"/>
      <c r="AL494"/>
      <c r="AM494"/>
      <c r="AN494"/>
      <c r="AO494" s="148">
        <f t="shared" si="164"/>
        <v>8.9273000000000025</v>
      </c>
      <c r="AP494" s="195">
        <v>381</v>
      </c>
      <c r="AQ494" s="195" t="s">
        <v>528</v>
      </c>
      <c r="AR494" s="195" t="s">
        <v>520</v>
      </c>
      <c r="AS494" s="195" t="s">
        <v>529</v>
      </c>
      <c r="AT494" s="195" t="s">
        <v>522</v>
      </c>
      <c r="AU494" s="195" t="s">
        <v>530</v>
      </c>
      <c r="AV494" s="195" t="s">
        <v>524</v>
      </c>
      <c r="AW494" s="195" t="s">
        <v>525</v>
      </c>
      <c r="AX494" s="195" t="s">
        <v>526</v>
      </c>
      <c r="AZ494"/>
      <c r="BA494"/>
      <c r="BB494"/>
      <c r="BC494"/>
      <c r="BD494"/>
      <c r="BE494"/>
      <c r="BF494" s="152"/>
      <c r="BG494" s="152"/>
    </row>
    <row r="495" spans="1:59" s="90" customFormat="1" ht="14.25" customHeight="1" x14ac:dyDescent="0.2">
      <c r="A495" s="127"/>
      <c r="B495"/>
      <c r="C495" s="134"/>
      <c r="D495"/>
      <c r="E495"/>
      <c r="F495"/>
      <c r="G495"/>
      <c r="H495"/>
      <c r="I495"/>
      <c r="J495"/>
      <c r="K495"/>
      <c r="L495"/>
      <c r="M495"/>
      <c r="N495"/>
      <c r="O495"/>
      <c r="P495"/>
      <c r="Q495"/>
      <c r="R495"/>
      <c r="S495"/>
      <c r="T495"/>
      <c r="U495"/>
      <c r="V495"/>
      <c r="W495"/>
      <c r="X495" s="66"/>
      <c r="Y495" s="4"/>
      <c r="Z495" s="4"/>
      <c r="AA495" s="4"/>
      <c r="AB495" s="4"/>
      <c r="AC495" s="4"/>
      <c r="AD495" s="4"/>
      <c r="AE495" s="4"/>
      <c r="AF495" s="4"/>
      <c r="AG495"/>
      <c r="AH495"/>
      <c r="AI495"/>
      <c r="AJ495"/>
      <c r="AK495"/>
      <c r="AL495"/>
      <c r="AM495"/>
      <c r="AN495"/>
      <c r="AO495" s="148">
        <f t="shared" si="164"/>
        <v>8.9276000000000018</v>
      </c>
      <c r="AP495" s="195">
        <v>382</v>
      </c>
      <c r="AQ495" s="195" t="s">
        <v>521</v>
      </c>
      <c r="AR495" s="195" t="s">
        <v>524</v>
      </c>
      <c r="AS495" s="195" t="s">
        <v>529</v>
      </c>
      <c r="AT495" s="195" t="s">
        <v>528</v>
      </c>
      <c r="AU495" s="195" t="s">
        <v>530</v>
      </c>
      <c r="AV495" s="195" t="s">
        <v>522</v>
      </c>
      <c r="AW495" s="195" t="s">
        <v>525</v>
      </c>
      <c r="AX495" s="195" t="s">
        <v>526</v>
      </c>
      <c r="AZ495"/>
      <c r="BA495"/>
      <c r="BB495"/>
      <c r="BC495"/>
      <c r="BD495"/>
      <c r="BE495"/>
      <c r="BF495" s="152"/>
      <c r="BG495" s="152"/>
    </row>
    <row r="496" spans="1:59" s="90" customFormat="1" ht="14.25" customHeight="1" x14ac:dyDescent="0.2">
      <c r="A496" s="127"/>
      <c r="B496"/>
      <c r="C496" s="134"/>
      <c r="D496"/>
      <c r="E496"/>
      <c r="F496"/>
      <c r="G496"/>
      <c r="H496"/>
      <c r="I496"/>
      <c r="J496"/>
      <c r="K496"/>
      <c r="L496"/>
      <c r="M496"/>
      <c r="N496"/>
      <c r="O496"/>
      <c r="P496"/>
      <c r="Q496"/>
      <c r="R496"/>
      <c r="S496"/>
      <c r="T496"/>
      <c r="U496"/>
      <c r="V496"/>
      <c r="W496"/>
      <c r="X496" s="66"/>
      <c r="Y496" s="4"/>
      <c r="Z496" s="4"/>
      <c r="AA496" s="4"/>
      <c r="AB496" s="4"/>
      <c r="AC496" s="4"/>
      <c r="AD496" s="4"/>
      <c r="AE496" s="4"/>
      <c r="AF496" s="4"/>
      <c r="AG496"/>
      <c r="AH496"/>
      <c r="AI496"/>
      <c r="AJ496"/>
      <c r="AK496"/>
      <c r="AL496"/>
      <c r="AM496"/>
      <c r="AN496"/>
      <c r="AO496" s="148">
        <f t="shared" si="164"/>
        <v>8.9258000000000024</v>
      </c>
      <c r="AP496" s="195">
        <v>383</v>
      </c>
      <c r="AQ496" s="195" t="s">
        <v>528</v>
      </c>
      <c r="AR496" s="195" t="s">
        <v>520</v>
      </c>
      <c r="AS496" s="195" t="s">
        <v>529</v>
      </c>
      <c r="AT496" s="195" t="s">
        <v>522</v>
      </c>
      <c r="AU496" s="195" t="s">
        <v>530</v>
      </c>
      <c r="AV496" s="195" t="s">
        <v>524</v>
      </c>
      <c r="AW496" s="195" t="s">
        <v>525</v>
      </c>
      <c r="AX496" s="195" t="s">
        <v>521</v>
      </c>
      <c r="AZ496"/>
      <c r="BA496"/>
      <c r="BB496"/>
      <c r="BC496"/>
      <c r="BD496"/>
      <c r="BE496"/>
      <c r="BF496" s="152"/>
      <c r="BG496" s="152"/>
    </row>
    <row r="497" spans="1:59" s="90" customFormat="1" ht="14.25" customHeight="1" x14ac:dyDescent="0.2">
      <c r="A497" s="127"/>
      <c r="B497"/>
      <c r="C497" s="134"/>
      <c r="D497"/>
      <c r="E497"/>
      <c r="F497"/>
      <c r="G497"/>
      <c r="H497"/>
      <c r="I497"/>
      <c r="J497"/>
      <c r="K497"/>
      <c r="L497"/>
      <c r="M497"/>
      <c r="N497"/>
      <c r="O497"/>
      <c r="P497"/>
      <c r="Q497"/>
      <c r="R497"/>
      <c r="S497"/>
      <c r="T497"/>
      <c r="U497"/>
      <c r="V497"/>
      <c r="W497"/>
      <c r="X497" s="66"/>
      <c r="Y497" s="4"/>
      <c r="Z497" s="4"/>
      <c r="AA497" s="4"/>
      <c r="AB497" s="4"/>
      <c r="AC497" s="4"/>
      <c r="AD497" s="4"/>
      <c r="AE497" s="4"/>
      <c r="AF497" s="4"/>
      <c r="AG497"/>
      <c r="AH497"/>
      <c r="AI497"/>
      <c r="AJ497"/>
      <c r="AK497"/>
      <c r="AL497"/>
      <c r="AM497"/>
      <c r="AN497"/>
      <c r="AO497" s="148">
        <f t="shared" si="164"/>
        <v>8.9271000000000011</v>
      </c>
      <c r="AP497" s="195">
        <v>384</v>
      </c>
      <c r="AQ497" s="195" t="s">
        <v>528</v>
      </c>
      <c r="AR497" s="195" t="s">
        <v>520</v>
      </c>
      <c r="AS497" s="195" t="s">
        <v>529</v>
      </c>
      <c r="AT497" s="195" t="s">
        <v>522</v>
      </c>
      <c r="AU497" s="195" t="s">
        <v>530</v>
      </c>
      <c r="AV497" s="195" t="s">
        <v>524</v>
      </c>
      <c r="AW497" s="195" t="s">
        <v>521</v>
      </c>
      <c r="AX497" s="195" t="s">
        <v>526</v>
      </c>
      <c r="AZ497"/>
      <c r="BA497"/>
      <c r="BB497"/>
      <c r="BC497"/>
      <c r="BD497"/>
      <c r="BE497"/>
      <c r="BF497" s="152"/>
      <c r="BG497" s="152"/>
    </row>
    <row r="498" spans="1:59" s="90" customFormat="1" ht="14.25" customHeight="1" x14ac:dyDescent="0.2">
      <c r="A498" s="127"/>
      <c r="B498"/>
      <c r="C498" s="134"/>
      <c r="D498"/>
      <c r="E498"/>
      <c r="F498"/>
      <c r="G498"/>
      <c r="H498"/>
      <c r="I498"/>
      <c r="J498"/>
      <c r="K498"/>
      <c r="L498"/>
      <c r="M498"/>
      <c r="N498"/>
      <c r="O498"/>
      <c r="P498"/>
      <c r="Q498"/>
      <c r="R498"/>
      <c r="S498"/>
      <c r="T498"/>
      <c r="U498"/>
      <c r="V498"/>
      <c r="W498"/>
      <c r="X498" s="66"/>
      <c r="Y498" s="4"/>
      <c r="Z498" s="4"/>
      <c r="AA498" s="4"/>
      <c r="AB498" s="4"/>
      <c r="AC498" s="4"/>
      <c r="AD498" s="4"/>
      <c r="AE498" s="4"/>
      <c r="AF498" s="4"/>
      <c r="AG498"/>
      <c r="AH498"/>
      <c r="AI498"/>
      <c r="AJ498"/>
      <c r="AK498"/>
      <c r="AL498"/>
      <c r="AM498"/>
      <c r="AN498"/>
      <c r="AO498" s="148">
        <f t="shared" ref="AO498:AO561" si="165">VLOOKUP(AQ498,$AN$98:$BA$109,14,0)+VLOOKUP(AR498,$AN$98:$BA$109,14,0)+VLOOKUP(AS498,$AN$98:$BA$109,14,0)+VLOOKUP(AT498,$AN$98:$BA$109,14,0)+VLOOKUP(AU498,$AN$98:$BA$109,14,0)+VLOOKUP(AV498,$AN$98:$BA$109,14,0)+VLOOKUP(AW498,$AN$98:$BA$109,14,0)+VLOOKUP(AX498,$AN$98:$BA$109,14,0)</f>
        <v>8.9306000000000019</v>
      </c>
      <c r="AP498" s="195">
        <v>385</v>
      </c>
      <c r="AQ498" s="195" t="s">
        <v>523</v>
      </c>
      <c r="AR498" s="195" t="s">
        <v>524</v>
      </c>
      <c r="AS498" s="195" t="s">
        <v>529</v>
      </c>
      <c r="AT498" s="195" t="s">
        <v>528</v>
      </c>
      <c r="AU498" s="195" t="s">
        <v>530</v>
      </c>
      <c r="AV498" s="195" t="s">
        <v>522</v>
      </c>
      <c r="AW498" s="195" t="s">
        <v>525</v>
      </c>
      <c r="AX498" s="195" t="s">
        <v>526</v>
      </c>
      <c r="AZ498"/>
      <c r="BA498"/>
      <c r="BB498"/>
      <c r="BC498"/>
      <c r="BD498"/>
      <c r="BE498"/>
      <c r="BF498" s="152"/>
      <c r="BG498" s="152"/>
    </row>
    <row r="499" spans="1:59" s="90" customFormat="1" ht="14.25" customHeight="1" x14ac:dyDescent="0.2">
      <c r="A499" s="127"/>
      <c r="B499"/>
      <c r="C499" s="134"/>
      <c r="D499"/>
      <c r="E499"/>
      <c r="F499"/>
      <c r="G499"/>
      <c r="H499"/>
      <c r="I499"/>
      <c r="J499"/>
      <c r="K499"/>
      <c r="L499"/>
      <c r="M499"/>
      <c r="N499"/>
      <c r="O499"/>
      <c r="P499"/>
      <c r="Q499"/>
      <c r="R499"/>
      <c r="S499"/>
      <c r="T499"/>
      <c r="U499"/>
      <c r="V499"/>
      <c r="W499"/>
      <c r="X499" s="66"/>
      <c r="Y499" s="4"/>
      <c r="Z499" s="4"/>
      <c r="AA499" s="4"/>
      <c r="AB499" s="4"/>
      <c r="AC499" s="4"/>
      <c r="AD499" s="4"/>
      <c r="AE499" s="4"/>
      <c r="AF499" s="4"/>
      <c r="AG499"/>
      <c r="AH499"/>
      <c r="AI499"/>
      <c r="AJ499"/>
      <c r="AK499"/>
      <c r="AL499"/>
      <c r="AM499"/>
      <c r="AN499"/>
      <c r="AO499" s="148">
        <f t="shared" si="165"/>
        <v>8.9288000000000007</v>
      </c>
      <c r="AP499" s="195">
        <v>386</v>
      </c>
      <c r="AQ499" s="195" t="s">
        <v>523</v>
      </c>
      <c r="AR499" s="195" t="s">
        <v>524</v>
      </c>
      <c r="AS499" s="195" t="s">
        <v>529</v>
      </c>
      <c r="AT499" s="195" t="s">
        <v>528</v>
      </c>
      <c r="AU499" s="195" t="s">
        <v>530</v>
      </c>
      <c r="AV499" s="195" t="s">
        <v>522</v>
      </c>
      <c r="AW499" s="195" t="s">
        <v>525</v>
      </c>
      <c r="AX499" s="195" t="s">
        <v>520</v>
      </c>
      <c r="AZ499"/>
      <c r="BA499"/>
      <c r="BB499"/>
      <c r="BC499"/>
      <c r="BD499"/>
      <c r="BE499"/>
      <c r="BF499" s="152"/>
      <c r="BG499" s="152"/>
    </row>
    <row r="500" spans="1:59" s="90" customFormat="1" ht="14.25" customHeight="1" x14ac:dyDescent="0.2">
      <c r="A500" s="127"/>
      <c r="B500"/>
      <c r="C500" s="134"/>
      <c r="D500"/>
      <c r="E500"/>
      <c r="F500"/>
      <c r="G500"/>
      <c r="H500"/>
      <c r="I500"/>
      <c r="J500"/>
      <c r="K500"/>
      <c r="L500"/>
      <c r="M500"/>
      <c r="N500"/>
      <c r="O500"/>
      <c r="P500"/>
      <c r="Q500"/>
      <c r="R500"/>
      <c r="S500"/>
      <c r="T500"/>
      <c r="U500"/>
      <c r="V500"/>
      <c r="W500"/>
      <c r="X500" s="66"/>
      <c r="Y500" s="4"/>
      <c r="Z500" s="4"/>
      <c r="AA500" s="4"/>
      <c r="AB500" s="4"/>
      <c r="AC500" s="4"/>
      <c r="AD500" s="4"/>
      <c r="AE500" s="4"/>
      <c r="AF500" s="4"/>
      <c r="AG500"/>
      <c r="AH500"/>
      <c r="AI500"/>
      <c r="AJ500"/>
      <c r="AK500"/>
      <c r="AL500"/>
      <c r="AM500"/>
      <c r="AN500"/>
      <c r="AO500" s="148">
        <f t="shared" si="165"/>
        <v>8.9300999999999995</v>
      </c>
      <c r="AP500" s="195">
        <v>387</v>
      </c>
      <c r="AQ500" s="195" t="s">
        <v>523</v>
      </c>
      <c r="AR500" s="195" t="s">
        <v>524</v>
      </c>
      <c r="AS500" s="195" t="s">
        <v>529</v>
      </c>
      <c r="AT500" s="195" t="s">
        <v>528</v>
      </c>
      <c r="AU500" s="195" t="s">
        <v>530</v>
      </c>
      <c r="AV500" s="195" t="s">
        <v>522</v>
      </c>
      <c r="AW500" s="195" t="s">
        <v>520</v>
      </c>
      <c r="AX500" s="195" t="s">
        <v>526</v>
      </c>
      <c r="AZ500"/>
      <c r="BA500"/>
      <c r="BB500"/>
      <c r="BC500"/>
      <c r="BD500"/>
      <c r="BE500"/>
      <c r="BF500" s="152"/>
      <c r="BG500" s="152"/>
    </row>
    <row r="501" spans="1:59" s="90" customFormat="1" ht="14.25" customHeight="1" x14ac:dyDescent="0.2">
      <c r="A501" s="127"/>
      <c r="B501"/>
      <c r="C501" s="134"/>
      <c r="D501"/>
      <c r="E501"/>
      <c r="F501"/>
      <c r="G501"/>
      <c r="H501"/>
      <c r="I501"/>
      <c r="J501"/>
      <c r="K501"/>
      <c r="L501"/>
      <c r="M501"/>
      <c r="N501"/>
      <c r="O501"/>
      <c r="P501"/>
      <c r="Q501"/>
      <c r="R501"/>
      <c r="S501"/>
      <c r="T501"/>
      <c r="U501"/>
      <c r="V501"/>
      <c r="W501"/>
      <c r="X501" s="66"/>
      <c r="Y501" s="4"/>
      <c r="Z501" s="4"/>
      <c r="AA501" s="4"/>
      <c r="AB501" s="4"/>
      <c r="AC501" s="4"/>
      <c r="AD501" s="4"/>
      <c r="AE501" s="4"/>
      <c r="AF501" s="4"/>
      <c r="AG501"/>
      <c r="AH501"/>
      <c r="AI501"/>
      <c r="AJ501"/>
      <c r="AK501"/>
      <c r="AL501"/>
      <c r="AM501"/>
      <c r="AN501"/>
      <c r="AO501" s="148">
        <f t="shared" si="165"/>
        <v>8.9291000000000018</v>
      </c>
      <c r="AP501" s="195">
        <v>388</v>
      </c>
      <c r="AQ501" s="195" t="s">
        <v>523</v>
      </c>
      <c r="AR501" s="195" t="s">
        <v>524</v>
      </c>
      <c r="AS501" s="195" t="s">
        <v>529</v>
      </c>
      <c r="AT501" s="195" t="s">
        <v>528</v>
      </c>
      <c r="AU501" s="195" t="s">
        <v>530</v>
      </c>
      <c r="AV501" s="195" t="s">
        <v>522</v>
      </c>
      <c r="AW501" s="195" t="s">
        <v>525</v>
      </c>
      <c r="AX501" s="195" t="s">
        <v>521</v>
      </c>
      <c r="AZ501"/>
      <c r="BA501"/>
      <c r="BB501"/>
      <c r="BC501"/>
      <c r="BD501"/>
      <c r="BE501"/>
      <c r="BF501" s="152"/>
      <c r="BG501" s="152"/>
    </row>
    <row r="502" spans="1:59" s="90" customFormat="1" ht="14.25" customHeight="1" x14ac:dyDescent="0.2">
      <c r="A502" s="127"/>
      <c r="B502"/>
      <c r="C502" s="134"/>
      <c r="D502"/>
      <c r="E502"/>
      <c r="F502"/>
      <c r="G502"/>
      <c r="H502"/>
      <c r="I502"/>
      <c r="J502"/>
      <c r="K502"/>
      <c r="L502"/>
      <c r="M502"/>
      <c r="N502"/>
      <c r="O502"/>
      <c r="P502"/>
      <c r="Q502"/>
      <c r="R502"/>
      <c r="S502"/>
      <c r="T502"/>
      <c r="U502"/>
      <c r="V502"/>
      <c r="W502"/>
      <c r="X502" s="66"/>
      <c r="Y502" s="4"/>
      <c r="Z502" s="4"/>
      <c r="AA502" s="4"/>
      <c r="AB502" s="4"/>
      <c r="AC502" s="4"/>
      <c r="AD502" s="4"/>
      <c r="AE502" s="4"/>
      <c r="AF502" s="4"/>
      <c r="AG502"/>
      <c r="AH502"/>
      <c r="AI502"/>
      <c r="AJ502"/>
      <c r="AK502"/>
      <c r="AL502"/>
      <c r="AM502"/>
      <c r="AN502"/>
      <c r="AO502" s="148">
        <f t="shared" si="165"/>
        <v>8.9304000000000006</v>
      </c>
      <c r="AP502" s="195">
        <v>389</v>
      </c>
      <c r="AQ502" s="195" t="s">
        <v>523</v>
      </c>
      <c r="AR502" s="195" t="s">
        <v>524</v>
      </c>
      <c r="AS502" s="195" t="s">
        <v>529</v>
      </c>
      <c r="AT502" s="195" t="s">
        <v>528</v>
      </c>
      <c r="AU502" s="195" t="s">
        <v>530</v>
      </c>
      <c r="AV502" s="195" t="s">
        <v>522</v>
      </c>
      <c r="AW502" s="195" t="s">
        <v>521</v>
      </c>
      <c r="AX502" s="195" t="s">
        <v>526</v>
      </c>
      <c r="AZ502"/>
      <c r="BA502"/>
      <c r="BB502"/>
      <c r="BC502"/>
      <c r="BD502"/>
      <c r="BE502"/>
      <c r="BF502" s="152"/>
      <c r="BG502" s="152"/>
    </row>
    <row r="503" spans="1:59" s="90" customFormat="1" ht="14.25" customHeight="1" x14ac:dyDescent="0.2">
      <c r="A503" s="127"/>
      <c r="B503"/>
      <c r="C503" s="134"/>
      <c r="D503"/>
      <c r="E503"/>
      <c r="F503"/>
      <c r="G503"/>
      <c r="H503"/>
      <c r="I503"/>
      <c r="J503"/>
      <c r="K503"/>
      <c r="L503"/>
      <c r="M503"/>
      <c r="N503"/>
      <c r="O503"/>
      <c r="P503"/>
      <c r="Q503"/>
      <c r="R503"/>
      <c r="S503"/>
      <c r="T503"/>
      <c r="U503"/>
      <c r="V503"/>
      <c r="W503"/>
      <c r="X503" s="66"/>
      <c r="Y503" s="4"/>
      <c r="Z503" s="4"/>
      <c r="AA503" s="4"/>
      <c r="AB503" s="4"/>
      <c r="AC503" s="4"/>
      <c r="AD503" s="4"/>
      <c r="AE503" s="4"/>
      <c r="AF503" s="4"/>
      <c r="AG503"/>
      <c r="AH503"/>
      <c r="AI503"/>
      <c r="AJ503"/>
      <c r="AK503"/>
      <c r="AL503"/>
      <c r="AM503"/>
      <c r="AN503"/>
      <c r="AO503" s="148">
        <f t="shared" si="165"/>
        <v>8.9286000000000012</v>
      </c>
      <c r="AP503" s="195">
        <v>390</v>
      </c>
      <c r="AQ503" s="195" t="s">
        <v>523</v>
      </c>
      <c r="AR503" s="195" t="s">
        <v>524</v>
      </c>
      <c r="AS503" s="195" t="s">
        <v>529</v>
      </c>
      <c r="AT503" s="195" t="s">
        <v>528</v>
      </c>
      <c r="AU503" s="195" t="s">
        <v>530</v>
      </c>
      <c r="AV503" s="195" t="s">
        <v>522</v>
      </c>
      <c r="AW503" s="195" t="s">
        <v>521</v>
      </c>
      <c r="AX503" s="195" t="s">
        <v>520</v>
      </c>
      <c r="AZ503"/>
      <c r="BA503"/>
      <c r="BB503"/>
      <c r="BC503"/>
      <c r="BD503"/>
      <c r="BE503"/>
      <c r="BF503" s="152"/>
      <c r="BG503" s="152"/>
    </row>
    <row r="504" spans="1:59" s="90" customFormat="1" ht="14.25" customHeight="1" x14ac:dyDescent="0.2">
      <c r="A504" s="127"/>
      <c r="B504"/>
      <c r="C504" s="134"/>
      <c r="D504"/>
      <c r="E504"/>
      <c r="F504"/>
      <c r="G504"/>
      <c r="H504"/>
      <c r="I504"/>
      <c r="J504"/>
      <c r="K504"/>
      <c r="L504"/>
      <c r="M504"/>
      <c r="N504"/>
      <c r="O504"/>
      <c r="P504"/>
      <c r="Q504"/>
      <c r="R504"/>
      <c r="S504"/>
      <c r="T504"/>
      <c r="U504"/>
      <c r="V504"/>
      <c r="W504"/>
      <c r="X504" s="66"/>
      <c r="Y504" s="4"/>
      <c r="Z504" s="4"/>
      <c r="AA504" s="4"/>
      <c r="AB504" s="4"/>
      <c r="AC504" s="4"/>
      <c r="AD504" s="4"/>
      <c r="AE504" s="4"/>
      <c r="AF504" s="4"/>
      <c r="AG504"/>
      <c r="AH504"/>
      <c r="AI504"/>
      <c r="AJ504"/>
      <c r="AK504"/>
      <c r="AL504"/>
      <c r="AM504"/>
      <c r="AN504"/>
      <c r="AO504" s="148">
        <f t="shared" si="165"/>
        <v>8.9270999999999994</v>
      </c>
      <c r="AP504" s="195">
        <v>391</v>
      </c>
      <c r="AQ504" s="195" t="s">
        <v>519</v>
      </c>
      <c r="AR504" s="195" t="s">
        <v>520</v>
      </c>
      <c r="AS504" s="195" t="s">
        <v>529</v>
      </c>
      <c r="AT504" s="195" t="s">
        <v>530</v>
      </c>
      <c r="AU504" s="195" t="s">
        <v>521</v>
      </c>
      <c r="AV504" s="195" t="s">
        <v>528</v>
      </c>
      <c r="AW504" s="195" t="s">
        <v>525</v>
      </c>
      <c r="AX504" s="195" t="s">
        <v>526</v>
      </c>
      <c r="AZ504"/>
      <c r="BA504"/>
      <c r="BB504"/>
      <c r="BC504"/>
      <c r="BD504"/>
      <c r="BE504"/>
      <c r="BF504" s="152"/>
      <c r="BG504" s="152"/>
    </row>
    <row r="505" spans="1:59" s="90" customFormat="1" ht="14.25" customHeight="1" x14ac:dyDescent="0.2">
      <c r="A505" s="127"/>
      <c r="B505"/>
      <c r="C505" s="134"/>
      <c r="D505"/>
      <c r="E505"/>
      <c r="F505"/>
      <c r="G505"/>
      <c r="H505"/>
      <c r="I505"/>
      <c r="J505"/>
      <c r="K505"/>
      <c r="L505"/>
      <c r="M505"/>
      <c r="N505"/>
      <c r="O505"/>
      <c r="P505"/>
      <c r="Q505"/>
      <c r="R505"/>
      <c r="S505"/>
      <c r="T505"/>
      <c r="U505"/>
      <c r="V505"/>
      <c r="W505"/>
      <c r="X505" s="66"/>
      <c r="Y505" s="4"/>
      <c r="Z505" s="4"/>
      <c r="AA505" s="4"/>
      <c r="AB505" s="4"/>
      <c r="AC505" s="4"/>
      <c r="AD505" s="4"/>
      <c r="AE505" s="4"/>
      <c r="AF505" s="4"/>
      <c r="AG505"/>
      <c r="AH505"/>
      <c r="AI505"/>
      <c r="AJ505"/>
      <c r="AK505"/>
      <c r="AL505"/>
      <c r="AM505"/>
      <c r="AN505"/>
      <c r="AO505" s="148">
        <f t="shared" si="165"/>
        <v>8.9301000000000013</v>
      </c>
      <c r="AP505" s="195">
        <v>392</v>
      </c>
      <c r="AQ505" s="195" t="s">
        <v>519</v>
      </c>
      <c r="AR505" s="195" t="s">
        <v>520</v>
      </c>
      <c r="AS505" s="195" t="s">
        <v>529</v>
      </c>
      <c r="AT505" s="195" t="s">
        <v>528</v>
      </c>
      <c r="AU505" s="195" t="s">
        <v>530</v>
      </c>
      <c r="AV505" s="195" t="s">
        <v>523</v>
      </c>
      <c r="AW505" s="195" t="s">
        <v>525</v>
      </c>
      <c r="AX505" s="195" t="s">
        <v>526</v>
      </c>
      <c r="AZ505"/>
      <c r="BA505"/>
      <c r="BB505"/>
      <c r="BC505"/>
      <c r="BD505"/>
      <c r="BE505"/>
      <c r="BF505" s="152"/>
      <c r="BG505" s="152"/>
    </row>
    <row r="506" spans="1:59" s="90" customFormat="1" ht="14.25" customHeight="1" x14ac:dyDescent="0.2">
      <c r="A506" s="127"/>
      <c r="B506"/>
      <c r="C506" s="134"/>
      <c r="D506"/>
      <c r="E506"/>
      <c r="F506"/>
      <c r="G506"/>
      <c r="H506"/>
      <c r="I506"/>
      <c r="J506"/>
      <c r="K506"/>
      <c r="L506"/>
      <c r="M506"/>
      <c r="N506"/>
      <c r="O506"/>
      <c r="P506"/>
      <c r="Q506"/>
      <c r="R506"/>
      <c r="S506"/>
      <c r="T506"/>
      <c r="U506"/>
      <c r="V506"/>
      <c r="W506"/>
      <c r="X506" s="66"/>
      <c r="Y506" s="4"/>
      <c r="Z506" s="4"/>
      <c r="AA506" s="4"/>
      <c r="AB506" s="4"/>
      <c r="AC506" s="4"/>
      <c r="AD506" s="4"/>
      <c r="AE506" s="4"/>
      <c r="AF506" s="4"/>
      <c r="AG506"/>
      <c r="AH506"/>
      <c r="AI506"/>
      <c r="AJ506"/>
      <c r="AK506"/>
      <c r="AL506"/>
      <c r="AM506"/>
      <c r="AN506"/>
      <c r="AO506" s="148">
        <f t="shared" si="165"/>
        <v>8.9304000000000023</v>
      </c>
      <c r="AP506" s="195">
        <v>393</v>
      </c>
      <c r="AQ506" s="195" t="s">
        <v>519</v>
      </c>
      <c r="AR506" s="195" t="s">
        <v>521</v>
      </c>
      <c r="AS506" s="195" t="s">
        <v>529</v>
      </c>
      <c r="AT506" s="195" t="s">
        <v>528</v>
      </c>
      <c r="AU506" s="195" t="s">
        <v>530</v>
      </c>
      <c r="AV506" s="195" t="s">
        <v>523</v>
      </c>
      <c r="AW506" s="195" t="s">
        <v>525</v>
      </c>
      <c r="AX506" s="195" t="s">
        <v>526</v>
      </c>
      <c r="AZ506"/>
      <c r="BA506"/>
      <c r="BB506"/>
      <c r="BC506"/>
      <c r="BD506"/>
      <c r="BE506"/>
      <c r="BF506" s="152"/>
      <c r="BG506" s="152"/>
    </row>
    <row r="507" spans="1:59" s="90" customFormat="1" ht="14.25" customHeight="1" x14ac:dyDescent="0.2">
      <c r="A507" s="127"/>
      <c r="B507"/>
      <c r="C507" s="134"/>
      <c r="D507"/>
      <c r="E507"/>
      <c r="F507"/>
      <c r="G507"/>
      <c r="H507"/>
      <c r="I507"/>
      <c r="J507"/>
      <c r="K507"/>
      <c r="L507"/>
      <c r="M507"/>
      <c r="N507"/>
      <c r="O507"/>
      <c r="P507"/>
      <c r="Q507"/>
      <c r="R507"/>
      <c r="S507"/>
      <c r="T507"/>
      <c r="U507"/>
      <c r="V507"/>
      <c r="W507"/>
      <c r="X507" s="66"/>
      <c r="Y507" s="4"/>
      <c r="Z507" s="4"/>
      <c r="AA507" s="4"/>
      <c r="AB507" s="4"/>
      <c r="AC507" s="4"/>
      <c r="AD507" s="4"/>
      <c r="AE507" s="4"/>
      <c r="AF507" s="4"/>
      <c r="AG507"/>
      <c r="AH507"/>
      <c r="AI507"/>
      <c r="AJ507"/>
      <c r="AK507"/>
      <c r="AL507"/>
      <c r="AM507"/>
      <c r="AN507"/>
      <c r="AO507" s="148">
        <f t="shared" si="165"/>
        <v>8.9286000000000012</v>
      </c>
      <c r="AP507" s="195">
        <v>394</v>
      </c>
      <c r="AQ507" s="195" t="s">
        <v>519</v>
      </c>
      <c r="AR507" s="195" t="s">
        <v>520</v>
      </c>
      <c r="AS507" s="195" t="s">
        <v>529</v>
      </c>
      <c r="AT507" s="195" t="s">
        <v>528</v>
      </c>
      <c r="AU507" s="195" t="s">
        <v>530</v>
      </c>
      <c r="AV507" s="195" t="s">
        <v>523</v>
      </c>
      <c r="AW507" s="195" t="s">
        <v>525</v>
      </c>
      <c r="AX507" s="195" t="s">
        <v>521</v>
      </c>
      <c r="AZ507"/>
      <c r="BA507"/>
      <c r="BB507"/>
      <c r="BC507"/>
      <c r="BD507"/>
      <c r="BE507"/>
      <c r="BF507" s="152"/>
      <c r="BG507" s="152"/>
    </row>
    <row r="508" spans="1:59" s="90" customFormat="1" ht="14.25" customHeight="1" x14ac:dyDescent="0.2">
      <c r="A508" s="127"/>
      <c r="B508"/>
      <c r="C508" s="134"/>
      <c r="D508"/>
      <c r="E508"/>
      <c r="F508"/>
      <c r="G508"/>
      <c r="H508"/>
      <c r="I508"/>
      <c r="J508"/>
      <c r="K508"/>
      <c r="L508"/>
      <c r="M508"/>
      <c r="N508"/>
      <c r="O508"/>
      <c r="P508"/>
      <c r="Q508"/>
      <c r="R508"/>
      <c r="S508"/>
      <c r="T508"/>
      <c r="U508"/>
      <c r="V508"/>
      <c r="W508"/>
      <c r="X508" s="66"/>
      <c r="Y508" s="4"/>
      <c r="Z508" s="4"/>
      <c r="AA508" s="4"/>
      <c r="AB508" s="4"/>
      <c r="AC508" s="4"/>
      <c r="AD508" s="4"/>
      <c r="AE508" s="4"/>
      <c r="AF508" s="4"/>
      <c r="AG508"/>
      <c r="AH508"/>
      <c r="AI508"/>
      <c r="AJ508"/>
      <c r="AK508"/>
      <c r="AL508"/>
      <c r="AM508"/>
      <c r="AN508"/>
      <c r="AO508" s="148">
        <f t="shared" si="165"/>
        <v>8.9298999999999999</v>
      </c>
      <c r="AP508" s="195">
        <v>395</v>
      </c>
      <c r="AQ508" s="195" t="s">
        <v>519</v>
      </c>
      <c r="AR508" s="195" t="s">
        <v>520</v>
      </c>
      <c r="AS508" s="195" t="s">
        <v>529</v>
      </c>
      <c r="AT508" s="195" t="s">
        <v>528</v>
      </c>
      <c r="AU508" s="195" t="s">
        <v>530</v>
      </c>
      <c r="AV508" s="195" t="s">
        <v>523</v>
      </c>
      <c r="AW508" s="195" t="s">
        <v>521</v>
      </c>
      <c r="AX508" s="195" t="s">
        <v>526</v>
      </c>
      <c r="AZ508"/>
      <c r="BA508"/>
      <c r="BB508"/>
      <c r="BC508"/>
      <c r="BD508"/>
      <c r="BE508"/>
      <c r="BF508" s="152"/>
      <c r="BG508" s="152"/>
    </row>
    <row r="509" spans="1:59" s="90" customFormat="1" ht="14.25" customHeight="1" x14ac:dyDescent="0.2">
      <c r="A509" s="127"/>
      <c r="B509"/>
      <c r="C509" s="134"/>
      <c r="D509"/>
      <c r="E509"/>
      <c r="F509"/>
      <c r="G509"/>
      <c r="H509"/>
      <c r="I509"/>
      <c r="J509"/>
      <c r="K509"/>
      <c r="L509"/>
      <c r="M509"/>
      <c r="N509"/>
      <c r="O509"/>
      <c r="P509"/>
      <c r="Q509"/>
      <c r="R509"/>
      <c r="S509"/>
      <c r="T509"/>
      <c r="U509"/>
      <c r="V509"/>
      <c r="W509"/>
      <c r="X509" s="66"/>
      <c r="Y509" s="4"/>
      <c r="Z509" s="4"/>
      <c r="AA509" s="4"/>
      <c r="AB509" s="4"/>
      <c r="AC509" s="4"/>
      <c r="AD509" s="4"/>
      <c r="AE509" s="4"/>
      <c r="AF509" s="4"/>
      <c r="AG509"/>
      <c r="AH509"/>
      <c r="AI509"/>
      <c r="AJ509"/>
      <c r="AK509"/>
      <c r="AL509"/>
      <c r="AM509"/>
      <c r="AN509"/>
      <c r="AO509" s="148">
        <f t="shared" si="165"/>
        <v>8.9268999999999998</v>
      </c>
      <c r="AP509" s="195">
        <v>396</v>
      </c>
      <c r="AQ509" s="195" t="s">
        <v>519</v>
      </c>
      <c r="AR509" s="195" t="s">
        <v>520</v>
      </c>
      <c r="AS509" s="195" t="s">
        <v>529</v>
      </c>
      <c r="AT509" s="195" t="s">
        <v>528</v>
      </c>
      <c r="AU509" s="195" t="s">
        <v>530</v>
      </c>
      <c r="AV509" s="195" t="s">
        <v>524</v>
      </c>
      <c r="AW509" s="195" t="s">
        <v>525</v>
      </c>
      <c r="AX509" s="195" t="s">
        <v>526</v>
      </c>
      <c r="AZ509"/>
      <c r="BA509"/>
      <c r="BB509"/>
      <c r="BC509"/>
      <c r="BD509"/>
      <c r="BE509"/>
      <c r="BF509" s="152"/>
      <c r="BG509" s="152"/>
    </row>
    <row r="510" spans="1:59" s="90" customFormat="1" ht="14.25" customHeight="1" x14ac:dyDescent="0.2">
      <c r="A510" s="127"/>
      <c r="B510"/>
      <c r="C510" s="134"/>
      <c r="D510"/>
      <c r="E510"/>
      <c r="F510"/>
      <c r="G510"/>
      <c r="H510"/>
      <c r="I510"/>
      <c r="J510"/>
      <c r="K510"/>
      <c r="L510"/>
      <c r="M510"/>
      <c r="N510"/>
      <c r="O510"/>
      <c r="P510"/>
      <c r="Q510"/>
      <c r="R510"/>
      <c r="S510"/>
      <c r="T510"/>
      <c r="U510"/>
      <c r="V510"/>
      <c r="W510"/>
      <c r="X510" s="66"/>
      <c r="Y510" s="4"/>
      <c r="Z510" s="4"/>
      <c r="AA510" s="4"/>
      <c r="AB510" s="4"/>
      <c r="AC510" s="4"/>
      <c r="AD510" s="4"/>
      <c r="AE510" s="4"/>
      <c r="AF510" s="4"/>
      <c r="AG510"/>
      <c r="AH510"/>
      <c r="AI510"/>
      <c r="AJ510"/>
      <c r="AK510"/>
      <c r="AL510"/>
      <c r="AM510"/>
      <c r="AN510"/>
      <c r="AO510" s="148">
        <f t="shared" si="165"/>
        <v>8.9272000000000009</v>
      </c>
      <c r="AP510" s="195">
        <v>397</v>
      </c>
      <c r="AQ510" s="195" t="s">
        <v>519</v>
      </c>
      <c r="AR510" s="195" t="s">
        <v>524</v>
      </c>
      <c r="AS510" s="195" t="s">
        <v>529</v>
      </c>
      <c r="AT510" s="195" t="s">
        <v>530</v>
      </c>
      <c r="AU510" s="195" t="s">
        <v>521</v>
      </c>
      <c r="AV510" s="195" t="s">
        <v>528</v>
      </c>
      <c r="AW510" s="195" t="s">
        <v>525</v>
      </c>
      <c r="AX510" s="195" t="s">
        <v>526</v>
      </c>
      <c r="AZ510"/>
      <c r="BA510"/>
      <c r="BB510"/>
      <c r="BC510"/>
      <c r="BD510"/>
      <c r="BE510"/>
      <c r="BF510" s="152"/>
      <c r="BG510" s="152"/>
    </row>
    <row r="511" spans="1:59" s="90" customFormat="1" ht="14.25" customHeight="1" x14ac:dyDescent="0.2">
      <c r="A511" s="127"/>
      <c r="B511"/>
      <c r="C511" s="134"/>
      <c r="D511"/>
      <c r="E511"/>
      <c r="F511"/>
      <c r="G511"/>
      <c r="H511"/>
      <c r="I511"/>
      <c r="J511"/>
      <c r="K511"/>
      <c r="L511"/>
      <c r="M511"/>
      <c r="N511"/>
      <c r="O511"/>
      <c r="P511"/>
      <c r="Q511"/>
      <c r="R511"/>
      <c r="S511"/>
      <c r="T511"/>
      <c r="U511"/>
      <c r="V511"/>
      <c r="W511"/>
      <c r="X511" s="66"/>
      <c r="Y511" s="4"/>
      <c r="Z511" s="4"/>
      <c r="AA511" s="4"/>
      <c r="AB511" s="4"/>
      <c r="AC511" s="4"/>
      <c r="AD511" s="4"/>
      <c r="AE511" s="4"/>
      <c r="AF511" s="4"/>
      <c r="AG511"/>
      <c r="AH511"/>
      <c r="AI511"/>
      <c r="AJ511"/>
      <c r="AK511"/>
      <c r="AL511"/>
      <c r="AM511"/>
      <c r="AN511"/>
      <c r="AO511" s="148">
        <f t="shared" si="165"/>
        <v>8.9254000000000016</v>
      </c>
      <c r="AP511" s="195">
        <v>398</v>
      </c>
      <c r="AQ511" s="195" t="s">
        <v>519</v>
      </c>
      <c r="AR511" s="195" t="s">
        <v>520</v>
      </c>
      <c r="AS511" s="195" t="s">
        <v>529</v>
      </c>
      <c r="AT511" s="195" t="s">
        <v>528</v>
      </c>
      <c r="AU511" s="195" t="s">
        <v>530</v>
      </c>
      <c r="AV511" s="195" t="s">
        <v>524</v>
      </c>
      <c r="AW511" s="195" t="s">
        <v>525</v>
      </c>
      <c r="AX511" s="195" t="s">
        <v>521</v>
      </c>
      <c r="AZ511"/>
      <c r="BA511"/>
      <c r="BB511"/>
      <c r="BC511"/>
      <c r="BD511"/>
      <c r="BE511"/>
      <c r="BF511" s="152"/>
      <c r="BG511" s="152"/>
    </row>
    <row r="512" spans="1:59" s="90" customFormat="1" ht="14.25" customHeight="1" x14ac:dyDescent="0.2">
      <c r="A512" s="127"/>
      <c r="B512"/>
      <c r="C512" s="134"/>
      <c r="D512"/>
      <c r="E512"/>
      <c r="F512"/>
      <c r="G512"/>
      <c r="H512"/>
      <c r="I512"/>
      <c r="J512"/>
      <c r="K512"/>
      <c r="L512"/>
      <c r="M512"/>
      <c r="N512"/>
      <c r="O512"/>
      <c r="P512"/>
      <c r="Q512"/>
      <c r="R512"/>
      <c r="S512"/>
      <c r="T512"/>
      <c r="U512"/>
      <c r="V512"/>
      <c r="W512"/>
      <c r="X512" s="66"/>
      <c r="Y512" s="4"/>
      <c r="Z512" s="4"/>
      <c r="AA512" s="4"/>
      <c r="AB512" s="4"/>
      <c r="AC512" s="4"/>
      <c r="AD512" s="4"/>
      <c r="AE512" s="4"/>
      <c r="AF512" s="4"/>
      <c r="AG512"/>
      <c r="AH512"/>
      <c r="AI512"/>
      <c r="AJ512"/>
      <c r="AK512"/>
      <c r="AL512"/>
      <c r="AM512"/>
      <c r="AN512"/>
      <c r="AO512" s="148">
        <f t="shared" si="165"/>
        <v>8.9267000000000003</v>
      </c>
      <c r="AP512" s="195">
        <v>399</v>
      </c>
      <c r="AQ512" s="195" t="s">
        <v>519</v>
      </c>
      <c r="AR512" s="195" t="s">
        <v>520</v>
      </c>
      <c r="AS512" s="195" t="s">
        <v>529</v>
      </c>
      <c r="AT512" s="195" t="s">
        <v>528</v>
      </c>
      <c r="AU512" s="195" t="s">
        <v>530</v>
      </c>
      <c r="AV512" s="195" t="s">
        <v>524</v>
      </c>
      <c r="AW512" s="195" t="s">
        <v>521</v>
      </c>
      <c r="AX512" s="195" t="s">
        <v>526</v>
      </c>
      <c r="AZ512"/>
      <c r="BA512"/>
      <c r="BB512"/>
      <c r="BC512"/>
      <c r="BD512"/>
      <c r="BE512"/>
      <c r="BF512" s="152"/>
      <c r="BG512" s="152"/>
    </row>
    <row r="513" spans="1:59" s="90" customFormat="1" ht="14.25" customHeight="1" x14ac:dyDescent="0.2">
      <c r="A513" s="127"/>
      <c r="B513"/>
      <c r="C513" s="134"/>
      <c r="D513"/>
      <c r="E513"/>
      <c r="F513"/>
      <c r="G513"/>
      <c r="H513"/>
      <c r="I513"/>
      <c r="J513"/>
      <c r="K513"/>
      <c r="L513"/>
      <c r="M513"/>
      <c r="N513"/>
      <c r="O513"/>
      <c r="P513"/>
      <c r="Q513"/>
      <c r="R513"/>
      <c r="S513"/>
      <c r="T513"/>
      <c r="U513"/>
      <c r="V513"/>
      <c r="W513"/>
      <c r="X513" s="66"/>
      <c r="Y513" s="4"/>
      <c r="Z513" s="4"/>
      <c r="AA513" s="4"/>
      <c r="AB513" s="4"/>
      <c r="AC513" s="4"/>
      <c r="AD513" s="4"/>
      <c r="AE513" s="4"/>
      <c r="AF513" s="4"/>
      <c r="AG513"/>
      <c r="AH513"/>
      <c r="AI513"/>
      <c r="AJ513"/>
      <c r="AK513"/>
      <c r="AL513"/>
      <c r="AM513"/>
      <c r="AN513"/>
      <c r="AO513" s="148">
        <f t="shared" si="165"/>
        <v>8.930200000000001</v>
      </c>
      <c r="AP513" s="195">
        <v>400</v>
      </c>
      <c r="AQ513" s="195" t="s">
        <v>519</v>
      </c>
      <c r="AR513" s="195" t="s">
        <v>524</v>
      </c>
      <c r="AS513" s="195" t="s">
        <v>529</v>
      </c>
      <c r="AT513" s="195" t="s">
        <v>528</v>
      </c>
      <c r="AU513" s="195" t="s">
        <v>530</v>
      </c>
      <c r="AV513" s="195" t="s">
        <v>523</v>
      </c>
      <c r="AW513" s="195" t="s">
        <v>525</v>
      </c>
      <c r="AX513" s="195" t="s">
        <v>526</v>
      </c>
      <c r="AZ513"/>
      <c r="BA513"/>
      <c r="BB513"/>
      <c r="BC513"/>
      <c r="BD513"/>
      <c r="BE513"/>
      <c r="BF513" s="152"/>
      <c r="BG513" s="152"/>
    </row>
    <row r="514" spans="1:59" s="90" customFormat="1" ht="14.25" customHeight="1" x14ac:dyDescent="0.2">
      <c r="A514" s="127"/>
      <c r="B514"/>
      <c r="C514" s="134"/>
      <c r="D514"/>
      <c r="E514"/>
      <c r="F514"/>
      <c r="G514"/>
      <c r="H514"/>
      <c r="I514"/>
      <c r="J514"/>
      <c r="K514"/>
      <c r="L514"/>
      <c r="M514"/>
      <c r="N514"/>
      <c r="O514"/>
      <c r="P514"/>
      <c r="Q514"/>
      <c r="R514"/>
      <c r="S514"/>
      <c r="T514"/>
      <c r="U514"/>
      <c r="V514"/>
      <c r="W514"/>
      <c r="X514" s="66"/>
      <c r="Y514" s="4"/>
      <c r="Z514" s="4"/>
      <c r="AA514" s="4"/>
      <c r="AB514" s="4"/>
      <c r="AC514" s="4"/>
      <c r="AD514" s="4"/>
      <c r="AE514" s="4"/>
      <c r="AF514" s="4"/>
      <c r="AG514"/>
      <c r="AH514"/>
      <c r="AI514"/>
      <c r="AJ514"/>
      <c r="AK514"/>
      <c r="AL514"/>
      <c r="AM514"/>
      <c r="AN514"/>
      <c r="AO514" s="148">
        <f t="shared" si="165"/>
        <v>8.9284000000000017</v>
      </c>
      <c r="AP514" s="195">
        <v>401</v>
      </c>
      <c r="AQ514" s="195" t="s">
        <v>523</v>
      </c>
      <c r="AR514" s="195" t="s">
        <v>520</v>
      </c>
      <c r="AS514" s="195" t="s">
        <v>529</v>
      </c>
      <c r="AT514" s="195" t="s">
        <v>528</v>
      </c>
      <c r="AU514" s="195" t="s">
        <v>530</v>
      </c>
      <c r="AV514" s="195" t="s">
        <v>524</v>
      </c>
      <c r="AW514" s="195" t="s">
        <v>525</v>
      </c>
      <c r="AX514" s="195" t="s">
        <v>519</v>
      </c>
      <c r="AZ514"/>
      <c r="BA514"/>
      <c r="BB514"/>
      <c r="BC514"/>
      <c r="BD514"/>
      <c r="BE514"/>
      <c r="BF514" s="152"/>
      <c r="BG514" s="152"/>
    </row>
    <row r="515" spans="1:59" s="90" customFormat="1" ht="14.25" customHeight="1" x14ac:dyDescent="0.2">
      <c r="A515" s="127"/>
      <c r="B515"/>
      <c r="C515" s="134"/>
      <c r="D515"/>
      <c r="E515"/>
      <c r="F515"/>
      <c r="G515"/>
      <c r="H515"/>
      <c r="I515"/>
      <c r="J515"/>
      <c r="K515"/>
      <c r="L515"/>
      <c r="M515"/>
      <c r="N515"/>
      <c r="O515"/>
      <c r="P515"/>
      <c r="Q515"/>
      <c r="R515"/>
      <c r="S515"/>
      <c r="T515"/>
      <c r="U515"/>
      <c r="V515"/>
      <c r="W515"/>
      <c r="X515" s="66"/>
      <c r="Y515" s="4"/>
      <c r="Z515" s="4"/>
      <c r="AA515" s="4"/>
      <c r="AB515" s="4"/>
      <c r="AC515" s="4"/>
      <c r="AD515" s="4"/>
      <c r="AE515" s="4"/>
      <c r="AF515" s="4"/>
      <c r="AG515"/>
      <c r="AH515"/>
      <c r="AI515"/>
      <c r="AJ515"/>
      <c r="AK515"/>
      <c r="AL515"/>
      <c r="AM515"/>
      <c r="AN515"/>
      <c r="AO515" s="148">
        <f t="shared" si="165"/>
        <v>8.9297000000000004</v>
      </c>
      <c r="AP515" s="195">
        <v>402</v>
      </c>
      <c r="AQ515" s="195" t="s">
        <v>523</v>
      </c>
      <c r="AR515" s="195" t="s">
        <v>520</v>
      </c>
      <c r="AS515" s="195" t="s">
        <v>529</v>
      </c>
      <c r="AT515" s="195" t="s">
        <v>528</v>
      </c>
      <c r="AU515" s="195" t="s">
        <v>530</v>
      </c>
      <c r="AV515" s="195" t="s">
        <v>524</v>
      </c>
      <c r="AW515" s="195" t="s">
        <v>519</v>
      </c>
      <c r="AX515" s="195" t="s">
        <v>526</v>
      </c>
      <c r="AZ515"/>
      <c r="BA515"/>
      <c r="BB515"/>
      <c r="BC515"/>
      <c r="BD515"/>
      <c r="BE515"/>
      <c r="BF515" s="152"/>
      <c r="BG515" s="152"/>
    </row>
    <row r="516" spans="1:59" s="90" customFormat="1" ht="14.25" customHeight="1" x14ac:dyDescent="0.2">
      <c r="A516" s="127"/>
      <c r="B516"/>
      <c r="C516" s="134"/>
      <c r="D516"/>
      <c r="E516"/>
      <c r="F516"/>
      <c r="G516"/>
      <c r="H516"/>
      <c r="I516"/>
      <c r="J516"/>
      <c r="K516"/>
      <c r="L516"/>
      <c r="M516"/>
      <c r="N516"/>
      <c r="O516"/>
      <c r="P516"/>
      <c r="Q516"/>
      <c r="R516"/>
      <c r="S516"/>
      <c r="T516"/>
      <c r="U516"/>
      <c r="V516"/>
      <c r="W516"/>
      <c r="X516" s="66"/>
      <c r="Y516" s="4"/>
      <c r="Z516" s="4"/>
      <c r="AA516" s="4"/>
      <c r="AB516" s="4"/>
      <c r="AC516" s="4"/>
      <c r="AD516" s="4"/>
      <c r="AE516" s="4"/>
      <c r="AF516" s="4"/>
      <c r="AG516"/>
      <c r="AH516"/>
      <c r="AI516"/>
      <c r="AJ516"/>
      <c r="AK516"/>
      <c r="AL516"/>
      <c r="AM516"/>
      <c r="AN516"/>
      <c r="AO516" s="148">
        <f t="shared" si="165"/>
        <v>8.928700000000001</v>
      </c>
      <c r="AP516" s="195">
        <v>403</v>
      </c>
      <c r="AQ516" s="195" t="s">
        <v>519</v>
      </c>
      <c r="AR516" s="195" t="s">
        <v>524</v>
      </c>
      <c r="AS516" s="195" t="s">
        <v>529</v>
      </c>
      <c r="AT516" s="195" t="s">
        <v>528</v>
      </c>
      <c r="AU516" s="195" t="s">
        <v>530</v>
      </c>
      <c r="AV516" s="195" t="s">
        <v>523</v>
      </c>
      <c r="AW516" s="195" t="s">
        <v>525</v>
      </c>
      <c r="AX516" s="195" t="s">
        <v>521</v>
      </c>
      <c r="AZ516"/>
      <c r="BA516"/>
      <c r="BB516"/>
      <c r="BC516"/>
      <c r="BD516"/>
      <c r="BE516"/>
      <c r="BF516" s="152"/>
      <c r="BG516" s="152"/>
    </row>
    <row r="517" spans="1:59" s="90" customFormat="1" ht="14.25" customHeight="1" x14ac:dyDescent="0.2">
      <c r="A517" s="127"/>
      <c r="B517"/>
      <c r="C517" s="134"/>
      <c r="D517"/>
      <c r="E517"/>
      <c r="F517"/>
      <c r="G517"/>
      <c r="H517"/>
      <c r="I517"/>
      <c r="J517"/>
      <c r="K517"/>
      <c r="L517"/>
      <c r="M517"/>
      <c r="N517"/>
      <c r="O517"/>
      <c r="P517"/>
      <c r="Q517"/>
      <c r="R517"/>
      <c r="S517"/>
      <c r="T517"/>
      <c r="U517"/>
      <c r="V517"/>
      <c r="W517"/>
      <c r="X517" s="66"/>
      <c r="Y517" s="4"/>
      <c r="Z517" s="4"/>
      <c r="AA517" s="4"/>
      <c r="AB517" s="4"/>
      <c r="AC517" s="4"/>
      <c r="AD517" s="4"/>
      <c r="AE517" s="4"/>
      <c r="AF517" s="4"/>
      <c r="AG517"/>
      <c r="AH517"/>
      <c r="AI517"/>
      <c r="AJ517"/>
      <c r="AK517"/>
      <c r="AL517"/>
      <c r="AM517"/>
      <c r="AN517"/>
      <c r="AO517" s="148">
        <f t="shared" si="165"/>
        <v>8.93</v>
      </c>
      <c r="AP517" s="195">
        <v>404</v>
      </c>
      <c r="AQ517" s="195" t="s">
        <v>519</v>
      </c>
      <c r="AR517" s="195" t="s">
        <v>524</v>
      </c>
      <c r="AS517" s="195" t="s">
        <v>529</v>
      </c>
      <c r="AT517" s="195" t="s">
        <v>528</v>
      </c>
      <c r="AU517" s="195" t="s">
        <v>530</v>
      </c>
      <c r="AV517" s="195" t="s">
        <v>523</v>
      </c>
      <c r="AW517" s="195" t="s">
        <v>521</v>
      </c>
      <c r="AX517" s="195" t="s">
        <v>526</v>
      </c>
      <c r="AZ517"/>
      <c r="BA517"/>
      <c r="BB517"/>
      <c r="BC517"/>
      <c r="BD517"/>
      <c r="BE517"/>
      <c r="BF517" s="152"/>
      <c r="BG517" s="152"/>
    </row>
    <row r="518" spans="1:59" s="90" customFormat="1" ht="14.25" customHeight="1" x14ac:dyDescent="0.2">
      <c r="A518" s="127"/>
      <c r="B518"/>
      <c r="C518" s="134"/>
      <c r="D518"/>
      <c r="E518"/>
      <c r="F518"/>
      <c r="G518"/>
      <c r="H518"/>
      <c r="I518"/>
      <c r="J518"/>
      <c r="K518"/>
      <c r="L518"/>
      <c r="M518"/>
      <c r="N518"/>
      <c r="O518"/>
      <c r="P518"/>
      <c r="Q518"/>
      <c r="R518"/>
      <c r="S518"/>
      <c r="T518"/>
      <c r="U518"/>
      <c r="V518"/>
      <c r="W518"/>
      <c r="X518" s="66"/>
      <c r="Y518" s="4"/>
      <c r="Z518" s="4"/>
      <c r="AA518" s="4"/>
      <c r="AB518" s="4"/>
      <c r="AC518" s="4"/>
      <c r="AD518" s="4"/>
      <c r="AE518" s="4"/>
      <c r="AF518" s="4"/>
      <c r="AG518"/>
      <c r="AH518"/>
      <c r="AI518"/>
      <c r="AJ518"/>
      <c r="AK518"/>
      <c r="AL518"/>
      <c r="AM518"/>
      <c r="AN518"/>
      <c r="AO518" s="148">
        <f t="shared" si="165"/>
        <v>8.9282000000000021</v>
      </c>
      <c r="AP518" s="195">
        <v>405</v>
      </c>
      <c r="AQ518" s="195" t="s">
        <v>523</v>
      </c>
      <c r="AR518" s="195" t="s">
        <v>520</v>
      </c>
      <c r="AS518" s="195" t="s">
        <v>529</v>
      </c>
      <c r="AT518" s="195" t="s">
        <v>528</v>
      </c>
      <c r="AU518" s="195" t="s">
        <v>530</v>
      </c>
      <c r="AV518" s="195" t="s">
        <v>524</v>
      </c>
      <c r="AW518" s="195" t="s">
        <v>519</v>
      </c>
      <c r="AX518" s="195" t="s">
        <v>521</v>
      </c>
      <c r="AZ518"/>
      <c r="BA518"/>
      <c r="BB518"/>
      <c r="BC518"/>
      <c r="BD518"/>
      <c r="BE518"/>
      <c r="BF518" s="152"/>
      <c r="BG518" s="152"/>
    </row>
    <row r="519" spans="1:59" s="90" customFormat="1" ht="14.25" customHeight="1" x14ac:dyDescent="0.2">
      <c r="A519" s="127"/>
      <c r="B519"/>
      <c r="C519" s="134"/>
      <c r="D519"/>
      <c r="E519"/>
      <c r="F519"/>
      <c r="G519"/>
      <c r="H519"/>
      <c r="I519"/>
      <c r="J519"/>
      <c r="K519"/>
      <c r="L519"/>
      <c r="M519"/>
      <c r="N519"/>
      <c r="O519"/>
      <c r="P519"/>
      <c r="Q519"/>
      <c r="R519"/>
      <c r="S519"/>
      <c r="T519"/>
      <c r="U519"/>
      <c r="V519"/>
      <c r="W519"/>
      <c r="X519" s="66"/>
      <c r="Y519" s="4"/>
      <c r="Z519" s="4"/>
      <c r="AA519" s="4"/>
      <c r="AB519" s="4"/>
      <c r="AC519" s="4"/>
      <c r="AD519" s="4"/>
      <c r="AE519" s="4"/>
      <c r="AF519" s="4"/>
      <c r="AG519"/>
      <c r="AH519"/>
      <c r="AI519"/>
      <c r="AJ519"/>
      <c r="AK519"/>
      <c r="AL519"/>
      <c r="AM519"/>
      <c r="AN519"/>
      <c r="AO519" s="148">
        <f t="shared" si="165"/>
        <v>8.9278000000000013</v>
      </c>
      <c r="AP519" s="195">
        <v>406</v>
      </c>
      <c r="AQ519" s="195" t="s">
        <v>519</v>
      </c>
      <c r="AR519" s="195" t="s">
        <v>520</v>
      </c>
      <c r="AS519" s="195" t="s">
        <v>529</v>
      </c>
      <c r="AT519" s="195" t="s">
        <v>528</v>
      </c>
      <c r="AU519" s="195" t="s">
        <v>530</v>
      </c>
      <c r="AV519" s="195" t="s">
        <v>522</v>
      </c>
      <c r="AW519" s="195" t="s">
        <v>525</v>
      </c>
      <c r="AX519" s="195" t="s">
        <v>526</v>
      </c>
      <c r="AZ519"/>
      <c r="BA519"/>
      <c r="BB519"/>
      <c r="BC519"/>
      <c r="BD519"/>
      <c r="BE519"/>
      <c r="BF519" s="152"/>
      <c r="BG519" s="152"/>
    </row>
    <row r="520" spans="1:59" s="90" customFormat="1" ht="14.25" customHeight="1" x14ac:dyDescent="0.2">
      <c r="A520" s="127"/>
      <c r="B520"/>
      <c r="C520" s="134"/>
      <c r="D520"/>
      <c r="E520"/>
      <c r="F520"/>
      <c r="G520"/>
      <c r="H520"/>
      <c r="I520"/>
      <c r="J520"/>
      <c r="K520"/>
      <c r="L520"/>
      <c r="M520"/>
      <c r="N520"/>
      <c r="O520"/>
      <c r="P520"/>
      <c r="Q520"/>
      <c r="R520"/>
      <c r="S520"/>
      <c r="T520"/>
      <c r="U520"/>
      <c r="V520"/>
      <c r="W520"/>
      <c r="X520" s="66"/>
      <c r="Y520" s="4"/>
      <c r="Z520" s="4"/>
      <c r="AA520" s="4"/>
      <c r="AB520" s="4"/>
      <c r="AC520" s="4"/>
      <c r="AD520" s="4"/>
      <c r="AE520" s="4"/>
      <c r="AF520" s="4"/>
      <c r="AG520"/>
      <c r="AH520"/>
      <c r="AI520"/>
      <c r="AJ520"/>
      <c r="AK520"/>
      <c r="AL520"/>
      <c r="AM520"/>
      <c r="AN520"/>
      <c r="AO520" s="148">
        <f t="shared" si="165"/>
        <v>8.9281000000000006</v>
      </c>
      <c r="AP520" s="195">
        <v>407</v>
      </c>
      <c r="AQ520" s="195" t="s">
        <v>519</v>
      </c>
      <c r="AR520" s="195" t="s">
        <v>521</v>
      </c>
      <c r="AS520" s="195" t="s">
        <v>529</v>
      </c>
      <c r="AT520" s="195" t="s">
        <v>528</v>
      </c>
      <c r="AU520" s="195" t="s">
        <v>530</v>
      </c>
      <c r="AV520" s="195" t="s">
        <v>522</v>
      </c>
      <c r="AW520" s="195" t="s">
        <v>525</v>
      </c>
      <c r="AX520" s="195" t="s">
        <v>526</v>
      </c>
      <c r="AZ520"/>
      <c r="BA520"/>
      <c r="BB520"/>
      <c r="BC520"/>
      <c r="BD520"/>
      <c r="BE520"/>
      <c r="BF520" s="152"/>
      <c r="BG520" s="152"/>
    </row>
    <row r="521" spans="1:59" s="90" customFormat="1" ht="14.25" customHeight="1" x14ac:dyDescent="0.2">
      <c r="A521" s="127"/>
      <c r="B521"/>
      <c r="C521" s="134"/>
      <c r="D521"/>
      <c r="E521"/>
      <c r="F521"/>
      <c r="G521"/>
      <c r="H521"/>
      <c r="I521"/>
      <c r="J521"/>
      <c r="K521"/>
      <c r="L521"/>
      <c r="M521"/>
      <c r="N521"/>
      <c r="O521"/>
      <c r="P521"/>
      <c r="Q521"/>
      <c r="R521"/>
      <c r="S521"/>
      <c r="T521"/>
      <c r="U521"/>
      <c r="V521"/>
      <c r="W521"/>
      <c r="X521" s="66"/>
      <c r="Y521" s="4"/>
      <c r="Z521" s="4"/>
      <c r="AA521" s="4"/>
      <c r="AB521" s="4"/>
      <c r="AC521" s="4"/>
      <c r="AD521" s="4"/>
      <c r="AE521" s="4"/>
      <c r="AF521" s="4"/>
      <c r="AG521"/>
      <c r="AH521"/>
      <c r="AI521"/>
      <c r="AJ521"/>
      <c r="AK521"/>
      <c r="AL521"/>
      <c r="AM521"/>
      <c r="AN521"/>
      <c r="AO521" s="148">
        <f t="shared" si="165"/>
        <v>8.9263000000000012</v>
      </c>
      <c r="AP521" s="195">
        <v>408</v>
      </c>
      <c r="AQ521" s="195" t="s">
        <v>519</v>
      </c>
      <c r="AR521" s="195" t="s">
        <v>520</v>
      </c>
      <c r="AS521" s="195" t="s">
        <v>529</v>
      </c>
      <c r="AT521" s="195" t="s">
        <v>528</v>
      </c>
      <c r="AU521" s="195" t="s">
        <v>530</v>
      </c>
      <c r="AV521" s="195" t="s">
        <v>522</v>
      </c>
      <c r="AW521" s="195" t="s">
        <v>525</v>
      </c>
      <c r="AX521" s="195" t="s">
        <v>521</v>
      </c>
      <c r="AZ521"/>
      <c r="BA521"/>
      <c r="BB521"/>
      <c r="BC521"/>
      <c r="BD521"/>
      <c r="BE521"/>
      <c r="BF521" s="152"/>
      <c r="BG521" s="152"/>
    </row>
    <row r="522" spans="1:59" s="90" customFormat="1" ht="14.25" customHeight="1" x14ac:dyDescent="0.2">
      <c r="A522" s="127"/>
      <c r="B522"/>
      <c r="C522" s="134"/>
      <c r="D522"/>
      <c r="E522"/>
      <c r="F522"/>
      <c r="G522"/>
      <c r="H522"/>
      <c r="I522"/>
      <c r="J522"/>
      <c r="K522"/>
      <c r="L522"/>
      <c r="M522"/>
      <c r="N522"/>
      <c r="O522"/>
      <c r="P522"/>
      <c r="Q522"/>
      <c r="R522"/>
      <c r="S522"/>
      <c r="T522"/>
      <c r="U522"/>
      <c r="V522"/>
      <c r="W522"/>
      <c r="X522" s="66"/>
      <c r="Y522" s="4"/>
      <c r="Z522" s="4"/>
      <c r="AA522" s="4"/>
      <c r="AB522" s="4"/>
      <c r="AC522" s="4"/>
      <c r="AD522" s="4"/>
      <c r="AE522" s="4"/>
      <c r="AF522" s="4"/>
      <c r="AG522"/>
      <c r="AH522"/>
      <c r="AI522"/>
      <c r="AJ522"/>
      <c r="AK522"/>
      <c r="AL522"/>
      <c r="AM522"/>
      <c r="AN522"/>
      <c r="AO522" s="148">
        <f t="shared" si="165"/>
        <v>8.9276000000000018</v>
      </c>
      <c r="AP522" s="195">
        <v>409</v>
      </c>
      <c r="AQ522" s="195" t="s">
        <v>519</v>
      </c>
      <c r="AR522" s="195" t="s">
        <v>520</v>
      </c>
      <c r="AS522" s="195" t="s">
        <v>529</v>
      </c>
      <c r="AT522" s="195" t="s">
        <v>528</v>
      </c>
      <c r="AU522" s="195" t="s">
        <v>530</v>
      </c>
      <c r="AV522" s="195" t="s">
        <v>522</v>
      </c>
      <c r="AW522" s="195" t="s">
        <v>521</v>
      </c>
      <c r="AX522" s="195" t="s">
        <v>526</v>
      </c>
      <c r="AZ522"/>
      <c r="BA522"/>
      <c r="BB522"/>
      <c r="BC522"/>
      <c r="BD522"/>
      <c r="BE522"/>
      <c r="BF522" s="152"/>
      <c r="BG522" s="152"/>
    </row>
    <row r="523" spans="1:59" s="90" customFormat="1" ht="14.25" customHeight="1" x14ac:dyDescent="0.2">
      <c r="A523" s="127"/>
      <c r="B523"/>
      <c r="C523" s="134"/>
      <c r="D523"/>
      <c r="E523"/>
      <c r="F523"/>
      <c r="G523"/>
      <c r="H523"/>
      <c r="I523"/>
      <c r="J523"/>
      <c r="K523"/>
      <c r="L523"/>
      <c r="M523"/>
      <c r="N523"/>
      <c r="O523"/>
      <c r="P523"/>
      <c r="Q523"/>
      <c r="R523"/>
      <c r="S523"/>
      <c r="T523"/>
      <c r="U523"/>
      <c r="V523"/>
      <c r="W523"/>
      <c r="X523" s="66"/>
      <c r="Y523" s="4"/>
      <c r="Z523" s="4"/>
      <c r="AA523" s="4"/>
      <c r="AB523" s="4"/>
      <c r="AC523" s="4"/>
      <c r="AD523" s="4"/>
      <c r="AE523" s="4"/>
      <c r="AF523" s="4"/>
      <c r="AG523"/>
      <c r="AH523"/>
      <c r="AI523"/>
      <c r="AJ523"/>
      <c r="AK523"/>
      <c r="AL523"/>
      <c r="AM523"/>
      <c r="AN523"/>
      <c r="AO523" s="148">
        <f t="shared" si="165"/>
        <v>8.9311000000000007</v>
      </c>
      <c r="AP523" s="195">
        <v>410</v>
      </c>
      <c r="AQ523" s="195" t="s">
        <v>523</v>
      </c>
      <c r="AR523" s="195" t="s">
        <v>519</v>
      </c>
      <c r="AS523" s="195" t="s">
        <v>529</v>
      </c>
      <c r="AT523" s="195" t="s">
        <v>528</v>
      </c>
      <c r="AU523" s="195" t="s">
        <v>530</v>
      </c>
      <c r="AV523" s="195" t="s">
        <v>522</v>
      </c>
      <c r="AW523" s="195" t="s">
        <v>525</v>
      </c>
      <c r="AX523" s="195" t="s">
        <v>526</v>
      </c>
      <c r="AZ523"/>
      <c r="BA523"/>
      <c r="BB523"/>
      <c r="BC523"/>
      <c r="BD523"/>
      <c r="BE523"/>
      <c r="BF523" s="152"/>
      <c r="BG523" s="152"/>
    </row>
    <row r="524" spans="1:59" s="90" customFormat="1" ht="14.25" customHeight="1" x14ac:dyDescent="0.2">
      <c r="A524" s="127"/>
      <c r="B524"/>
      <c r="C524" s="134"/>
      <c r="D524"/>
      <c r="E524"/>
      <c r="F524"/>
      <c r="G524"/>
      <c r="H524"/>
      <c r="I524"/>
      <c r="J524"/>
      <c r="K524"/>
      <c r="L524"/>
      <c r="M524"/>
      <c r="N524"/>
      <c r="O524"/>
      <c r="P524"/>
      <c r="Q524"/>
      <c r="R524"/>
      <c r="S524"/>
      <c r="T524"/>
      <c r="U524"/>
      <c r="V524"/>
      <c r="W524"/>
      <c r="X524" s="66"/>
      <c r="Y524" s="4"/>
      <c r="Z524" s="4"/>
      <c r="AA524" s="4"/>
      <c r="AB524" s="4"/>
      <c r="AC524" s="4"/>
      <c r="AD524" s="4"/>
      <c r="AE524" s="4"/>
      <c r="AF524" s="4"/>
      <c r="AG524"/>
      <c r="AH524"/>
      <c r="AI524"/>
      <c r="AJ524"/>
      <c r="AK524"/>
      <c r="AL524"/>
      <c r="AM524"/>
      <c r="AN524"/>
      <c r="AO524" s="148">
        <f t="shared" si="165"/>
        <v>8.9293000000000013</v>
      </c>
      <c r="AP524" s="195">
        <v>411</v>
      </c>
      <c r="AQ524" s="195" t="s">
        <v>523</v>
      </c>
      <c r="AR524" s="195" t="s">
        <v>520</v>
      </c>
      <c r="AS524" s="195" t="s">
        <v>529</v>
      </c>
      <c r="AT524" s="195" t="s">
        <v>528</v>
      </c>
      <c r="AU524" s="195" t="s">
        <v>530</v>
      </c>
      <c r="AV524" s="195" t="s">
        <v>522</v>
      </c>
      <c r="AW524" s="195" t="s">
        <v>525</v>
      </c>
      <c r="AX524" s="195" t="s">
        <v>519</v>
      </c>
      <c r="AZ524"/>
      <c r="BA524"/>
      <c r="BB524"/>
      <c r="BC524"/>
      <c r="BD524"/>
      <c r="BE524"/>
      <c r="BF524" s="152"/>
      <c r="BG524" s="152"/>
    </row>
    <row r="525" spans="1:59" s="90" customFormat="1" ht="14.25" customHeight="1" x14ac:dyDescent="0.2">
      <c r="A525" s="127"/>
      <c r="B525"/>
      <c r="C525" s="134"/>
      <c r="D525"/>
      <c r="E525"/>
      <c r="F525"/>
      <c r="G525"/>
      <c r="H525"/>
      <c r="I525"/>
      <c r="J525"/>
      <c r="K525"/>
      <c r="L525"/>
      <c r="M525"/>
      <c r="N525"/>
      <c r="O525"/>
      <c r="P525"/>
      <c r="Q525"/>
      <c r="R525"/>
      <c r="S525"/>
      <c r="T525"/>
      <c r="U525"/>
      <c r="V525"/>
      <c r="W525"/>
      <c r="X525" s="66"/>
      <c r="Y525" s="4"/>
      <c r="Z525" s="4"/>
      <c r="AA525" s="4"/>
      <c r="AB525" s="4"/>
      <c r="AC525" s="4"/>
      <c r="AD525" s="4"/>
      <c r="AE525" s="4"/>
      <c r="AF525" s="4"/>
      <c r="AG525"/>
      <c r="AH525"/>
      <c r="AI525"/>
      <c r="AJ525"/>
      <c r="AK525"/>
      <c r="AL525"/>
      <c r="AM525"/>
      <c r="AN525"/>
      <c r="AO525" s="148">
        <f t="shared" si="165"/>
        <v>8.9306000000000019</v>
      </c>
      <c r="AP525" s="195">
        <v>412</v>
      </c>
      <c r="AQ525" s="195" t="s">
        <v>523</v>
      </c>
      <c r="AR525" s="195" t="s">
        <v>520</v>
      </c>
      <c r="AS525" s="195" t="s">
        <v>529</v>
      </c>
      <c r="AT525" s="195" t="s">
        <v>528</v>
      </c>
      <c r="AU525" s="195" t="s">
        <v>530</v>
      </c>
      <c r="AV525" s="195" t="s">
        <v>522</v>
      </c>
      <c r="AW525" s="195" t="s">
        <v>519</v>
      </c>
      <c r="AX525" s="195" t="s">
        <v>526</v>
      </c>
      <c r="AZ525"/>
      <c r="BA525"/>
      <c r="BB525"/>
      <c r="BC525"/>
      <c r="BD525"/>
      <c r="BE525"/>
      <c r="BF525" s="152"/>
      <c r="BG525" s="152"/>
    </row>
    <row r="526" spans="1:59" s="90" customFormat="1" ht="14.25" customHeight="1" x14ac:dyDescent="0.2">
      <c r="A526" s="127"/>
      <c r="B526"/>
      <c r="C526" s="134"/>
      <c r="D526"/>
      <c r="E526"/>
      <c r="F526"/>
      <c r="G526"/>
      <c r="H526"/>
      <c r="I526"/>
      <c r="J526"/>
      <c r="K526"/>
      <c r="L526"/>
      <c r="M526"/>
      <c r="N526"/>
      <c r="O526"/>
      <c r="P526"/>
      <c r="Q526"/>
      <c r="R526"/>
      <c r="S526"/>
      <c r="T526"/>
      <c r="U526"/>
      <c r="V526"/>
      <c r="W526"/>
      <c r="X526" s="66"/>
      <c r="Y526" s="4"/>
      <c r="Z526" s="4"/>
      <c r="AA526" s="4"/>
      <c r="AB526" s="4"/>
      <c r="AC526" s="4"/>
      <c r="AD526" s="4"/>
      <c r="AE526" s="4"/>
      <c r="AF526" s="4"/>
      <c r="AG526"/>
      <c r="AH526"/>
      <c r="AI526"/>
      <c r="AJ526"/>
      <c r="AK526"/>
      <c r="AL526"/>
      <c r="AM526"/>
      <c r="AN526"/>
      <c r="AO526" s="148">
        <f t="shared" si="165"/>
        <v>8.9296000000000024</v>
      </c>
      <c r="AP526" s="195">
        <v>413</v>
      </c>
      <c r="AQ526" s="195" t="s">
        <v>523</v>
      </c>
      <c r="AR526" s="195" t="s">
        <v>519</v>
      </c>
      <c r="AS526" s="195" t="s">
        <v>529</v>
      </c>
      <c r="AT526" s="195" t="s">
        <v>528</v>
      </c>
      <c r="AU526" s="195" t="s">
        <v>530</v>
      </c>
      <c r="AV526" s="195" t="s">
        <v>522</v>
      </c>
      <c r="AW526" s="195" t="s">
        <v>525</v>
      </c>
      <c r="AX526" s="195" t="s">
        <v>521</v>
      </c>
      <c r="AZ526"/>
      <c r="BA526"/>
      <c r="BB526"/>
      <c r="BC526"/>
      <c r="BD526"/>
      <c r="BE526"/>
      <c r="BF526" s="152"/>
      <c r="BG526" s="152"/>
    </row>
    <row r="527" spans="1:59" s="90" customFormat="1" ht="14.25" customHeight="1" x14ac:dyDescent="0.2">
      <c r="A527" s="127"/>
      <c r="B527"/>
      <c r="C527" s="134"/>
      <c r="D527"/>
      <c r="E527"/>
      <c r="F527"/>
      <c r="G527"/>
      <c r="H527"/>
      <c r="I527"/>
      <c r="J527"/>
      <c r="K527"/>
      <c r="L527"/>
      <c r="M527"/>
      <c r="N527"/>
      <c r="O527"/>
      <c r="P527"/>
      <c r="Q527"/>
      <c r="R527"/>
      <c r="S527"/>
      <c r="T527"/>
      <c r="U527"/>
      <c r="V527"/>
      <c r="W527"/>
      <c r="X527" s="66"/>
      <c r="Y527" s="4"/>
      <c r="Z527" s="4"/>
      <c r="AA527" s="4"/>
      <c r="AB527" s="4"/>
      <c r="AC527" s="4"/>
      <c r="AD527" s="4"/>
      <c r="AE527" s="4"/>
      <c r="AF527" s="4"/>
      <c r="AG527"/>
      <c r="AH527"/>
      <c r="AI527"/>
      <c r="AJ527"/>
      <c r="AK527"/>
      <c r="AL527"/>
      <c r="AM527"/>
      <c r="AN527"/>
      <c r="AO527" s="148">
        <f t="shared" si="165"/>
        <v>8.9309000000000012</v>
      </c>
      <c r="AP527" s="195">
        <v>414</v>
      </c>
      <c r="AQ527" s="195" t="s">
        <v>523</v>
      </c>
      <c r="AR527" s="195" t="s">
        <v>519</v>
      </c>
      <c r="AS527" s="195" t="s">
        <v>529</v>
      </c>
      <c r="AT527" s="195" t="s">
        <v>528</v>
      </c>
      <c r="AU527" s="195" t="s">
        <v>530</v>
      </c>
      <c r="AV527" s="195" t="s">
        <v>522</v>
      </c>
      <c r="AW527" s="195" t="s">
        <v>521</v>
      </c>
      <c r="AX527" s="195" t="s">
        <v>526</v>
      </c>
      <c r="AZ527"/>
      <c r="BA527"/>
      <c r="BB527"/>
      <c r="BC527"/>
      <c r="BD527"/>
      <c r="BE527"/>
      <c r="BF527" s="152"/>
      <c r="BG527" s="152"/>
    </row>
    <row r="528" spans="1:59" s="90" customFormat="1" ht="14.25" customHeight="1" x14ac:dyDescent="0.2">
      <c r="A528" s="127"/>
      <c r="B528"/>
      <c r="C528" s="134"/>
      <c r="D528"/>
      <c r="E528"/>
      <c r="F528"/>
      <c r="G528"/>
      <c r="H528"/>
      <c r="I528"/>
      <c r="J528"/>
      <c r="K528"/>
      <c r="L528"/>
      <c r="M528"/>
      <c r="N528"/>
      <c r="O528"/>
      <c r="P528"/>
      <c r="Q528"/>
      <c r="R528"/>
      <c r="S528"/>
      <c r="T528"/>
      <c r="U528"/>
      <c r="V528"/>
      <c r="W528"/>
      <c r="X528" s="66"/>
      <c r="Y528" s="4"/>
      <c r="Z528" s="4"/>
      <c r="AA528" s="4"/>
      <c r="AB528" s="4"/>
      <c r="AC528" s="4"/>
      <c r="AD528" s="4"/>
      <c r="AE528" s="4"/>
      <c r="AF528" s="4"/>
      <c r="AG528"/>
      <c r="AH528"/>
      <c r="AI528"/>
      <c r="AJ528"/>
      <c r="AK528"/>
      <c r="AL528"/>
      <c r="AM528"/>
      <c r="AN528"/>
      <c r="AO528" s="148">
        <f t="shared" si="165"/>
        <v>8.9291000000000018</v>
      </c>
      <c r="AP528" s="195">
        <v>415</v>
      </c>
      <c r="AQ528" s="195" t="s">
        <v>523</v>
      </c>
      <c r="AR528" s="195" t="s">
        <v>520</v>
      </c>
      <c r="AS528" s="195" t="s">
        <v>529</v>
      </c>
      <c r="AT528" s="195" t="s">
        <v>528</v>
      </c>
      <c r="AU528" s="195" t="s">
        <v>530</v>
      </c>
      <c r="AV528" s="195" t="s">
        <v>522</v>
      </c>
      <c r="AW528" s="195" t="s">
        <v>519</v>
      </c>
      <c r="AX528" s="195" t="s">
        <v>521</v>
      </c>
      <c r="AZ528"/>
      <c r="BA528"/>
      <c r="BB528"/>
      <c r="BC528"/>
      <c r="BD528"/>
      <c r="BE528"/>
      <c r="BF528" s="152"/>
      <c r="BG528" s="152"/>
    </row>
    <row r="529" spans="1:59" s="90" customFormat="1" ht="14.25" customHeight="1" x14ac:dyDescent="0.2">
      <c r="A529" s="127"/>
      <c r="B529"/>
      <c r="C529" s="134"/>
      <c r="D529"/>
      <c r="E529"/>
      <c r="F529"/>
      <c r="G529"/>
      <c r="H529"/>
      <c r="I529"/>
      <c r="J529"/>
      <c r="K529"/>
      <c r="L529"/>
      <c r="M529"/>
      <c r="N529"/>
      <c r="O529"/>
      <c r="P529"/>
      <c r="Q529"/>
      <c r="R529"/>
      <c r="S529"/>
      <c r="T529"/>
      <c r="U529"/>
      <c r="V529"/>
      <c r="W529"/>
      <c r="X529" s="66"/>
      <c r="Y529" s="4"/>
      <c r="Z529" s="4"/>
      <c r="AA529" s="4"/>
      <c r="AB529" s="4"/>
      <c r="AC529" s="4"/>
      <c r="AD529" s="4"/>
      <c r="AE529" s="4"/>
      <c r="AF529" s="4"/>
      <c r="AG529"/>
      <c r="AH529"/>
      <c r="AI529"/>
      <c r="AJ529"/>
      <c r="AK529"/>
      <c r="AL529"/>
      <c r="AM529"/>
      <c r="AN529"/>
      <c r="AO529" s="148">
        <f t="shared" si="165"/>
        <v>8.9279000000000011</v>
      </c>
      <c r="AP529" s="195">
        <v>416</v>
      </c>
      <c r="AQ529" s="195" t="s">
        <v>519</v>
      </c>
      <c r="AR529" s="195" t="s">
        <v>524</v>
      </c>
      <c r="AS529" s="195" t="s">
        <v>529</v>
      </c>
      <c r="AT529" s="195" t="s">
        <v>528</v>
      </c>
      <c r="AU529" s="195" t="s">
        <v>530</v>
      </c>
      <c r="AV529" s="195" t="s">
        <v>522</v>
      </c>
      <c r="AW529" s="195" t="s">
        <v>525</v>
      </c>
      <c r="AX529" s="195" t="s">
        <v>526</v>
      </c>
      <c r="AZ529"/>
      <c r="BA529"/>
      <c r="BB529"/>
      <c r="BC529"/>
      <c r="BD529"/>
      <c r="BE529"/>
      <c r="BF529" s="152"/>
      <c r="BG529" s="152"/>
    </row>
    <row r="530" spans="1:59" s="90" customFormat="1" ht="14.25" customHeight="1" x14ac:dyDescent="0.2">
      <c r="A530" s="127"/>
      <c r="B530"/>
      <c r="C530" s="134"/>
      <c r="D530"/>
      <c r="E530"/>
      <c r="F530"/>
      <c r="G530"/>
      <c r="H530"/>
      <c r="I530"/>
      <c r="J530"/>
      <c r="K530"/>
      <c r="L530"/>
      <c r="M530"/>
      <c r="N530"/>
      <c r="O530"/>
      <c r="P530"/>
      <c r="Q530"/>
      <c r="R530"/>
      <c r="S530"/>
      <c r="T530"/>
      <c r="U530"/>
      <c r="V530"/>
      <c r="W530"/>
      <c r="X530" s="66"/>
      <c r="Y530" s="4"/>
      <c r="Z530" s="4"/>
      <c r="AA530" s="4"/>
      <c r="AB530" s="4"/>
      <c r="AC530" s="4"/>
      <c r="AD530" s="4"/>
      <c r="AE530" s="4"/>
      <c r="AF530" s="4"/>
      <c r="AG530"/>
      <c r="AH530"/>
      <c r="AI530"/>
      <c r="AJ530"/>
      <c r="AK530"/>
      <c r="AL530"/>
      <c r="AM530"/>
      <c r="AN530"/>
      <c r="AO530" s="148">
        <f t="shared" si="165"/>
        <v>8.9261000000000017</v>
      </c>
      <c r="AP530" s="195">
        <v>417</v>
      </c>
      <c r="AQ530" s="195" t="s">
        <v>519</v>
      </c>
      <c r="AR530" s="195" t="s">
        <v>524</v>
      </c>
      <c r="AS530" s="195" t="s">
        <v>529</v>
      </c>
      <c r="AT530" s="195" t="s">
        <v>528</v>
      </c>
      <c r="AU530" s="195" t="s">
        <v>530</v>
      </c>
      <c r="AV530" s="195" t="s">
        <v>522</v>
      </c>
      <c r="AW530" s="195" t="s">
        <v>525</v>
      </c>
      <c r="AX530" s="195" t="s">
        <v>520</v>
      </c>
      <c r="AZ530"/>
      <c r="BA530"/>
      <c r="BB530"/>
      <c r="BC530"/>
      <c r="BD530"/>
      <c r="BE530"/>
      <c r="BF530" s="152"/>
      <c r="BG530" s="152"/>
    </row>
    <row r="531" spans="1:59" s="90" customFormat="1" ht="14.25" customHeight="1" x14ac:dyDescent="0.2">
      <c r="A531" s="127"/>
      <c r="B531"/>
      <c r="C531" s="134"/>
      <c r="D531"/>
      <c r="E531"/>
      <c r="F531"/>
      <c r="G531"/>
      <c r="H531"/>
      <c r="I531"/>
      <c r="J531"/>
      <c r="K531"/>
      <c r="L531"/>
      <c r="M531"/>
      <c r="N531"/>
      <c r="O531"/>
      <c r="P531"/>
      <c r="Q531"/>
      <c r="R531"/>
      <c r="S531"/>
      <c r="T531"/>
      <c r="U531"/>
      <c r="V531"/>
      <c r="W531"/>
      <c r="X531" s="66"/>
      <c r="Y531" s="4"/>
      <c r="Z531" s="4"/>
      <c r="AA531" s="4"/>
      <c r="AB531" s="4"/>
      <c r="AC531" s="4"/>
      <c r="AD531" s="4"/>
      <c r="AE531" s="4"/>
      <c r="AF531" s="4"/>
      <c r="AG531"/>
      <c r="AH531"/>
      <c r="AI531"/>
      <c r="AJ531"/>
      <c r="AK531"/>
      <c r="AL531"/>
      <c r="AM531"/>
      <c r="AN531"/>
      <c r="AO531" s="148">
        <f t="shared" si="165"/>
        <v>8.9274000000000004</v>
      </c>
      <c r="AP531" s="195">
        <v>418</v>
      </c>
      <c r="AQ531" s="195" t="s">
        <v>519</v>
      </c>
      <c r="AR531" s="195" t="s">
        <v>524</v>
      </c>
      <c r="AS531" s="195" t="s">
        <v>529</v>
      </c>
      <c r="AT531" s="195" t="s">
        <v>528</v>
      </c>
      <c r="AU531" s="195" t="s">
        <v>530</v>
      </c>
      <c r="AV531" s="195" t="s">
        <v>522</v>
      </c>
      <c r="AW531" s="195" t="s">
        <v>520</v>
      </c>
      <c r="AX531" s="195" t="s">
        <v>526</v>
      </c>
      <c r="AZ531"/>
      <c r="BA531"/>
      <c r="BB531"/>
      <c r="BC531"/>
      <c r="BD531"/>
      <c r="BE531"/>
      <c r="BF531" s="152"/>
      <c r="BG531" s="152"/>
    </row>
    <row r="532" spans="1:59" s="90" customFormat="1" ht="14.25" customHeight="1" x14ac:dyDescent="0.2">
      <c r="A532" s="127"/>
      <c r="B532"/>
      <c r="C532" s="134"/>
      <c r="D532"/>
      <c r="E532"/>
      <c r="F532"/>
      <c r="G532"/>
      <c r="H532"/>
      <c r="I532"/>
      <c r="J532"/>
      <c r="K532"/>
      <c r="L532"/>
      <c r="M532"/>
      <c r="N532"/>
      <c r="O532"/>
      <c r="P532"/>
      <c r="Q532"/>
      <c r="R532"/>
      <c r="S532"/>
      <c r="T532"/>
      <c r="U532"/>
      <c r="V532"/>
      <c r="W532"/>
      <c r="X532" s="66"/>
      <c r="Y532" s="4"/>
      <c r="Z532" s="4"/>
      <c r="AA532" s="4"/>
      <c r="AB532" s="4"/>
      <c r="AC532" s="4"/>
      <c r="AD532" s="4"/>
      <c r="AE532" s="4"/>
      <c r="AF532" s="4"/>
      <c r="AG532"/>
      <c r="AH532"/>
      <c r="AI532"/>
      <c r="AJ532"/>
      <c r="AK532"/>
      <c r="AL532"/>
      <c r="AM532"/>
      <c r="AN532"/>
      <c r="AO532" s="148">
        <f t="shared" si="165"/>
        <v>8.926400000000001</v>
      </c>
      <c r="AP532" s="195">
        <v>419</v>
      </c>
      <c r="AQ532" s="195" t="s">
        <v>519</v>
      </c>
      <c r="AR532" s="195" t="s">
        <v>524</v>
      </c>
      <c r="AS532" s="195" t="s">
        <v>529</v>
      </c>
      <c r="AT532" s="195" t="s">
        <v>528</v>
      </c>
      <c r="AU532" s="195" t="s">
        <v>530</v>
      </c>
      <c r="AV532" s="195" t="s">
        <v>522</v>
      </c>
      <c r="AW532" s="195" t="s">
        <v>525</v>
      </c>
      <c r="AX532" s="195" t="s">
        <v>521</v>
      </c>
      <c r="AZ532"/>
      <c r="BA532"/>
      <c r="BB532"/>
      <c r="BC532"/>
      <c r="BD532"/>
      <c r="BE532"/>
      <c r="BF532" s="152"/>
      <c r="BG532" s="152"/>
    </row>
    <row r="533" spans="1:59" s="90" customFormat="1" ht="14.25" customHeight="1" x14ac:dyDescent="0.2">
      <c r="A533" s="127"/>
      <c r="B533"/>
      <c r="C533" s="134"/>
      <c r="D533"/>
      <c r="E533"/>
      <c r="F533"/>
      <c r="G533"/>
      <c r="H533"/>
      <c r="I533"/>
      <c r="J533"/>
      <c r="K533"/>
      <c r="L533"/>
      <c r="M533"/>
      <c r="N533"/>
      <c r="O533"/>
      <c r="P533"/>
      <c r="Q533"/>
      <c r="R533"/>
      <c r="S533"/>
      <c r="T533"/>
      <c r="U533"/>
      <c r="V533"/>
      <c r="W533"/>
      <c r="X533" s="66"/>
      <c r="Y533" s="4"/>
      <c r="Z533" s="4"/>
      <c r="AA533" s="4"/>
      <c r="AB533" s="4"/>
      <c r="AC533" s="4"/>
      <c r="AD533" s="4"/>
      <c r="AE533" s="4"/>
      <c r="AF533" s="4"/>
      <c r="AG533"/>
      <c r="AH533"/>
      <c r="AI533"/>
      <c r="AJ533"/>
      <c r="AK533"/>
      <c r="AL533"/>
      <c r="AM533"/>
      <c r="AN533"/>
      <c r="AO533" s="148">
        <f t="shared" si="165"/>
        <v>8.9277000000000015</v>
      </c>
      <c r="AP533" s="195">
        <v>420</v>
      </c>
      <c r="AQ533" s="195" t="s">
        <v>519</v>
      </c>
      <c r="AR533" s="195" t="s">
        <v>524</v>
      </c>
      <c r="AS533" s="195" t="s">
        <v>529</v>
      </c>
      <c r="AT533" s="195" t="s">
        <v>528</v>
      </c>
      <c r="AU533" s="195" t="s">
        <v>530</v>
      </c>
      <c r="AV533" s="195" t="s">
        <v>522</v>
      </c>
      <c r="AW533" s="195" t="s">
        <v>521</v>
      </c>
      <c r="AX533" s="195" t="s">
        <v>526</v>
      </c>
      <c r="AZ533"/>
      <c r="BA533"/>
      <c r="BB533"/>
      <c r="BC533"/>
      <c r="BD533"/>
      <c r="BE533"/>
      <c r="BF533" s="152"/>
      <c r="BG533" s="152"/>
    </row>
    <row r="534" spans="1:59" s="90" customFormat="1" ht="14.25" customHeight="1" x14ac:dyDescent="0.2">
      <c r="A534" s="127"/>
      <c r="B534"/>
      <c r="C534" s="134"/>
      <c r="D534"/>
      <c r="E534"/>
      <c r="F534"/>
      <c r="G534"/>
      <c r="H534"/>
      <c r="I534"/>
      <c r="J534"/>
      <c r="K534"/>
      <c r="L534"/>
      <c r="M534"/>
      <c r="N534"/>
      <c r="O534"/>
      <c r="P534"/>
      <c r="Q534"/>
      <c r="R534"/>
      <c r="S534"/>
      <c r="T534"/>
      <c r="U534"/>
      <c r="V534"/>
      <c r="W534"/>
      <c r="X534" s="66"/>
      <c r="Y534" s="4"/>
      <c r="Z534" s="4"/>
      <c r="AA534" s="4"/>
      <c r="AB534" s="4"/>
      <c r="AC534" s="4"/>
      <c r="AD534" s="4"/>
      <c r="AE534" s="4"/>
      <c r="AF534" s="4"/>
      <c r="AG534"/>
      <c r="AH534"/>
      <c r="AI534"/>
      <c r="AJ534"/>
      <c r="AK534"/>
      <c r="AL534"/>
      <c r="AM534"/>
      <c r="AN534"/>
      <c r="AO534" s="148">
        <f t="shared" si="165"/>
        <v>8.9259000000000004</v>
      </c>
      <c r="AP534" s="195">
        <v>421</v>
      </c>
      <c r="AQ534" s="195" t="s">
        <v>519</v>
      </c>
      <c r="AR534" s="195" t="s">
        <v>524</v>
      </c>
      <c r="AS534" s="195" t="s">
        <v>529</v>
      </c>
      <c r="AT534" s="195" t="s">
        <v>528</v>
      </c>
      <c r="AU534" s="195" t="s">
        <v>530</v>
      </c>
      <c r="AV534" s="195" t="s">
        <v>522</v>
      </c>
      <c r="AW534" s="195" t="s">
        <v>521</v>
      </c>
      <c r="AX534" s="195" t="s">
        <v>520</v>
      </c>
      <c r="AZ534"/>
      <c r="BA534"/>
      <c r="BB534"/>
      <c r="BC534"/>
      <c r="BD534"/>
      <c r="BE534"/>
      <c r="BF534" s="152"/>
      <c r="BG534" s="152"/>
    </row>
    <row r="535" spans="1:59" s="90" customFormat="1" ht="14.25" customHeight="1" x14ac:dyDescent="0.2">
      <c r="A535" s="127"/>
      <c r="B535"/>
      <c r="C535" s="134"/>
      <c r="D535"/>
      <c r="E535"/>
      <c r="F535"/>
      <c r="G535"/>
      <c r="H535"/>
      <c r="I535"/>
      <c r="J535"/>
      <c r="K535"/>
      <c r="L535"/>
      <c r="M535"/>
      <c r="N535"/>
      <c r="O535"/>
      <c r="P535"/>
      <c r="Q535"/>
      <c r="R535"/>
      <c r="S535"/>
      <c r="T535"/>
      <c r="U535"/>
      <c r="V535"/>
      <c r="W535"/>
      <c r="X535" s="66"/>
      <c r="Y535" s="4"/>
      <c r="Z535" s="4"/>
      <c r="AA535" s="4"/>
      <c r="AB535" s="4"/>
      <c r="AC535" s="4"/>
      <c r="AD535" s="4"/>
      <c r="AE535" s="4"/>
      <c r="AF535" s="4"/>
      <c r="AG535"/>
      <c r="AH535"/>
      <c r="AI535"/>
      <c r="AJ535"/>
      <c r="AK535"/>
      <c r="AL535"/>
      <c r="AM535"/>
      <c r="AN535"/>
      <c r="AO535" s="148">
        <f t="shared" si="165"/>
        <v>8.9294000000000011</v>
      </c>
      <c r="AP535" s="195">
        <v>422</v>
      </c>
      <c r="AQ535" s="195" t="s">
        <v>523</v>
      </c>
      <c r="AR535" s="195" t="s">
        <v>524</v>
      </c>
      <c r="AS535" s="195" t="s">
        <v>529</v>
      </c>
      <c r="AT535" s="195" t="s">
        <v>528</v>
      </c>
      <c r="AU535" s="195" t="s">
        <v>530</v>
      </c>
      <c r="AV535" s="195" t="s">
        <v>522</v>
      </c>
      <c r="AW535" s="195" t="s">
        <v>525</v>
      </c>
      <c r="AX535" s="195" t="s">
        <v>519</v>
      </c>
      <c r="AZ535"/>
      <c r="BA535"/>
      <c r="BB535"/>
      <c r="BC535"/>
      <c r="BD535"/>
      <c r="BE535"/>
      <c r="BF535" s="152"/>
      <c r="BG535" s="152"/>
    </row>
    <row r="536" spans="1:59" s="90" customFormat="1" ht="14.25" customHeight="1" x14ac:dyDescent="0.2">
      <c r="A536" s="127"/>
      <c r="B536"/>
      <c r="C536" s="134"/>
      <c r="D536"/>
      <c r="E536"/>
      <c r="F536"/>
      <c r="G536"/>
      <c r="H536"/>
      <c r="I536"/>
      <c r="J536"/>
      <c r="K536"/>
      <c r="L536"/>
      <c r="M536"/>
      <c r="N536"/>
      <c r="O536"/>
      <c r="P536"/>
      <c r="Q536"/>
      <c r="R536"/>
      <c r="S536"/>
      <c r="T536"/>
      <c r="U536"/>
      <c r="V536"/>
      <c r="W536"/>
      <c r="X536" s="66"/>
      <c r="Y536" s="4"/>
      <c r="Z536" s="4"/>
      <c r="AA536" s="4"/>
      <c r="AB536" s="4"/>
      <c r="AC536" s="4"/>
      <c r="AD536" s="4"/>
      <c r="AE536" s="4"/>
      <c r="AF536" s="4"/>
      <c r="AG536"/>
      <c r="AH536"/>
      <c r="AI536"/>
      <c r="AJ536"/>
      <c r="AK536"/>
      <c r="AL536"/>
      <c r="AM536"/>
      <c r="AN536"/>
      <c r="AO536" s="148">
        <f t="shared" si="165"/>
        <v>8.9307000000000016</v>
      </c>
      <c r="AP536" s="195">
        <v>423</v>
      </c>
      <c r="AQ536" s="195" t="s">
        <v>523</v>
      </c>
      <c r="AR536" s="195" t="s">
        <v>524</v>
      </c>
      <c r="AS536" s="195" t="s">
        <v>529</v>
      </c>
      <c r="AT536" s="195" t="s">
        <v>528</v>
      </c>
      <c r="AU536" s="195" t="s">
        <v>530</v>
      </c>
      <c r="AV536" s="195" t="s">
        <v>522</v>
      </c>
      <c r="AW536" s="195" t="s">
        <v>519</v>
      </c>
      <c r="AX536" s="195" t="s">
        <v>526</v>
      </c>
      <c r="AZ536"/>
      <c r="BA536"/>
      <c r="BB536"/>
      <c r="BC536"/>
      <c r="BD536"/>
      <c r="BE536"/>
      <c r="BF536" s="152"/>
      <c r="BG536" s="152"/>
    </row>
    <row r="537" spans="1:59" s="90" customFormat="1" ht="14.25" customHeight="1" x14ac:dyDescent="0.2">
      <c r="A537" s="127"/>
      <c r="B537"/>
      <c r="C537" s="134"/>
      <c r="D537"/>
      <c r="E537"/>
      <c r="F537"/>
      <c r="G537"/>
      <c r="H537"/>
      <c r="I537"/>
      <c r="J537"/>
      <c r="K537"/>
      <c r="L537"/>
      <c r="M537"/>
      <c r="N537"/>
      <c r="O537"/>
      <c r="P537"/>
      <c r="Q537"/>
      <c r="R537"/>
      <c r="S537"/>
      <c r="T537"/>
      <c r="U537"/>
      <c r="V537"/>
      <c r="W537"/>
      <c r="X537" s="66"/>
      <c r="Y537" s="4"/>
      <c r="Z537" s="4"/>
      <c r="AA537" s="4"/>
      <c r="AB537" s="4"/>
      <c r="AC537" s="4"/>
      <c r="AD537" s="4"/>
      <c r="AE537" s="4"/>
      <c r="AF537" s="4"/>
      <c r="AG537"/>
      <c r="AH537"/>
      <c r="AI537"/>
      <c r="AJ537"/>
      <c r="AK537"/>
      <c r="AL537"/>
      <c r="AM537"/>
      <c r="AN537"/>
      <c r="AO537" s="148">
        <f t="shared" si="165"/>
        <v>8.9289000000000005</v>
      </c>
      <c r="AP537" s="195">
        <v>424</v>
      </c>
      <c r="AQ537" s="195" t="s">
        <v>523</v>
      </c>
      <c r="AR537" s="195" t="s">
        <v>524</v>
      </c>
      <c r="AS537" s="195" t="s">
        <v>529</v>
      </c>
      <c r="AT537" s="195" t="s">
        <v>528</v>
      </c>
      <c r="AU537" s="195" t="s">
        <v>530</v>
      </c>
      <c r="AV537" s="195" t="s">
        <v>522</v>
      </c>
      <c r="AW537" s="195" t="s">
        <v>519</v>
      </c>
      <c r="AX537" s="195" t="s">
        <v>520</v>
      </c>
      <c r="AZ537"/>
      <c r="BA537"/>
      <c r="BB537"/>
      <c r="BC537"/>
      <c r="BD537"/>
      <c r="BE537"/>
      <c r="BF537" s="152"/>
      <c r="BG537" s="152"/>
    </row>
    <row r="538" spans="1:59" s="90" customFormat="1" ht="14.25" customHeight="1" x14ac:dyDescent="0.2">
      <c r="A538" s="127"/>
      <c r="B538"/>
      <c r="C538" s="134"/>
      <c r="D538"/>
      <c r="E538"/>
      <c r="F538"/>
      <c r="G538"/>
      <c r="H538"/>
      <c r="I538"/>
      <c r="J538"/>
      <c r="K538"/>
      <c r="L538"/>
      <c r="M538"/>
      <c r="N538"/>
      <c r="O538"/>
      <c r="P538"/>
      <c r="Q538"/>
      <c r="R538"/>
      <c r="S538"/>
      <c r="T538"/>
      <c r="U538"/>
      <c r="V538"/>
      <c r="W538"/>
      <c r="X538" s="66"/>
      <c r="Y538" s="4"/>
      <c r="Z538" s="4"/>
      <c r="AA538" s="4"/>
      <c r="AB538" s="4"/>
      <c r="AC538" s="4"/>
      <c r="AD538" s="4"/>
      <c r="AE538" s="4"/>
      <c r="AF538" s="4"/>
      <c r="AG538"/>
      <c r="AH538"/>
      <c r="AI538"/>
      <c r="AJ538"/>
      <c r="AK538"/>
      <c r="AL538"/>
      <c r="AM538"/>
      <c r="AN538"/>
      <c r="AO538" s="148">
        <f t="shared" si="165"/>
        <v>8.9292000000000016</v>
      </c>
      <c r="AP538" s="195">
        <v>425</v>
      </c>
      <c r="AQ538" s="195" t="s">
        <v>523</v>
      </c>
      <c r="AR538" s="195" t="s">
        <v>524</v>
      </c>
      <c r="AS538" s="195" t="s">
        <v>529</v>
      </c>
      <c r="AT538" s="195" t="s">
        <v>528</v>
      </c>
      <c r="AU538" s="195" t="s">
        <v>530</v>
      </c>
      <c r="AV538" s="195" t="s">
        <v>522</v>
      </c>
      <c r="AW538" s="195" t="s">
        <v>519</v>
      </c>
      <c r="AX538" s="195" t="s">
        <v>521</v>
      </c>
      <c r="AZ538"/>
      <c r="BA538"/>
      <c r="BB538"/>
      <c r="BC538"/>
      <c r="BD538"/>
      <c r="BE538"/>
      <c r="BF538" s="152"/>
      <c r="BG538" s="152"/>
    </row>
    <row r="539" spans="1:59" s="90" customFormat="1" ht="14.25" customHeight="1" x14ac:dyDescent="0.2">
      <c r="A539" s="127"/>
      <c r="B539"/>
      <c r="C539" s="134"/>
      <c r="D539"/>
      <c r="E539"/>
      <c r="F539"/>
      <c r="G539"/>
      <c r="H539"/>
      <c r="I539"/>
      <c r="J539"/>
      <c r="K539"/>
      <c r="L539"/>
      <c r="M539"/>
      <c r="N539"/>
      <c r="O539"/>
      <c r="P539"/>
      <c r="Q539"/>
      <c r="R539"/>
      <c r="S539"/>
      <c r="T539"/>
      <c r="U539"/>
      <c r="V539"/>
      <c r="W539"/>
      <c r="X539" s="66"/>
      <c r="Y539" s="4"/>
      <c r="Z539" s="4"/>
      <c r="AA539" s="4"/>
      <c r="AB539" s="4"/>
      <c r="AC539" s="4"/>
      <c r="AD539" s="4"/>
      <c r="AE539" s="4"/>
      <c r="AF539" s="4"/>
      <c r="AG539"/>
      <c r="AH539"/>
      <c r="AI539"/>
      <c r="AJ539"/>
      <c r="AK539"/>
      <c r="AL539"/>
      <c r="AM539"/>
      <c r="AN539"/>
      <c r="AO539" s="148">
        <f t="shared" si="165"/>
        <v>8.926400000000001</v>
      </c>
      <c r="AP539" s="195">
        <v>426</v>
      </c>
      <c r="AQ539" s="195" t="s">
        <v>521</v>
      </c>
      <c r="AR539" s="195" t="s">
        <v>520</v>
      </c>
      <c r="AS539" s="195" t="s">
        <v>529</v>
      </c>
      <c r="AT539" s="195" t="s">
        <v>528</v>
      </c>
      <c r="AU539" s="195" t="s">
        <v>530</v>
      </c>
      <c r="AV539" s="195" t="s">
        <v>527</v>
      </c>
      <c r="AW539" s="195" t="s">
        <v>525</v>
      </c>
      <c r="AX539" s="195" t="s">
        <v>526</v>
      </c>
      <c r="AZ539"/>
      <c r="BA539"/>
      <c r="BB539"/>
      <c r="BC539"/>
      <c r="BD539"/>
      <c r="BE539"/>
      <c r="BF539" s="152"/>
      <c r="BG539" s="152"/>
    </row>
    <row r="540" spans="1:59" s="90" customFormat="1" ht="14.25" customHeight="1" x14ac:dyDescent="0.2">
      <c r="A540" s="127"/>
      <c r="B540"/>
      <c r="C540" s="134"/>
      <c r="D540"/>
      <c r="E540"/>
      <c r="F540"/>
      <c r="G540"/>
      <c r="H540"/>
      <c r="I540"/>
      <c r="J540"/>
      <c r="K540"/>
      <c r="L540"/>
      <c r="M540"/>
      <c r="N540"/>
      <c r="O540"/>
      <c r="P540"/>
      <c r="Q540"/>
      <c r="R540"/>
      <c r="S540"/>
      <c r="T540"/>
      <c r="U540"/>
      <c r="V540"/>
      <c r="W540"/>
      <c r="X540" s="66"/>
      <c r="Y540" s="4"/>
      <c r="Z540" s="4"/>
      <c r="AA540" s="4"/>
      <c r="AB540" s="4"/>
      <c r="AC540" s="4"/>
      <c r="AD540" s="4"/>
      <c r="AE540" s="4"/>
      <c r="AF540" s="4"/>
      <c r="AG540"/>
      <c r="AH540"/>
      <c r="AI540"/>
      <c r="AJ540"/>
      <c r="AK540"/>
      <c r="AL540"/>
      <c r="AM540"/>
      <c r="AN540"/>
      <c r="AO540" s="148">
        <f t="shared" si="165"/>
        <v>8.9294000000000011</v>
      </c>
      <c r="AP540" s="195">
        <v>427</v>
      </c>
      <c r="AQ540" s="195" t="s">
        <v>523</v>
      </c>
      <c r="AR540" s="195" t="s">
        <v>520</v>
      </c>
      <c r="AS540" s="195" t="s">
        <v>529</v>
      </c>
      <c r="AT540" s="195" t="s">
        <v>528</v>
      </c>
      <c r="AU540" s="195" t="s">
        <v>530</v>
      </c>
      <c r="AV540" s="195" t="s">
        <v>527</v>
      </c>
      <c r="AW540" s="195" t="s">
        <v>525</v>
      </c>
      <c r="AX540" s="195" t="s">
        <v>526</v>
      </c>
      <c r="AZ540"/>
      <c r="BA540"/>
      <c r="BB540"/>
      <c r="BC540"/>
      <c r="BD540"/>
      <c r="BE540"/>
      <c r="BF540" s="152"/>
      <c r="BG540" s="152"/>
    </row>
    <row r="541" spans="1:59" s="90" customFormat="1" ht="14.25" customHeight="1" x14ac:dyDescent="0.2">
      <c r="A541" s="127"/>
      <c r="B541"/>
      <c r="C541" s="134"/>
      <c r="D541"/>
      <c r="E541"/>
      <c r="F541"/>
      <c r="G541"/>
      <c r="H541"/>
      <c r="I541"/>
      <c r="J541"/>
      <c r="K541"/>
      <c r="L541"/>
      <c r="M541"/>
      <c r="N541"/>
      <c r="O541"/>
      <c r="P541"/>
      <c r="Q541"/>
      <c r="R541"/>
      <c r="S541"/>
      <c r="T541"/>
      <c r="U541"/>
      <c r="V541"/>
      <c r="W541"/>
      <c r="X541" s="66"/>
      <c r="Y541" s="4"/>
      <c r="Z541" s="4"/>
      <c r="AA541" s="4"/>
      <c r="AB541" s="4"/>
      <c r="AC541" s="4"/>
      <c r="AD541" s="4"/>
      <c r="AE541" s="4"/>
      <c r="AF541" s="4"/>
      <c r="AG541"/>
      <c r="AH541"/>
      <c r="AI541"/>
      <c r="AJ541"/>
      <c r="AK541"/>
      <c r="AL541"/>
      <c r="AM541"/>
      <c r="AN541"/>
      <c r="AO541" s="148">
        <f t="shared" si="165"/>
        <v>8.9297000000000004</v>
      </c>
      <c r="AP541" s="195">
        <v>428</v>
      </c>
      <c r="AQ541" s="195" t="s">
        <v>523</v>
      </c>
      <c r="AR541" s="195" t="s">
        <v>521</v>
      </c>
      <c r="AS541" s="195" t="s">
        <v>529</v>
      </c>
      <c r="AT541" s="195" t="s">
        <v>528</v>
      </c>
      <c r="AU541" s="195" t="s">
        <v>530</v>
      </c>
      <c r="AV541" s="195" t="s">
        <v>527</v>
      </c>
      <c r="AW541" s="195" t="s">
        <v>525</v>
      </c>
      <c r="AX541" s="195" t="s">
        <v>526</v>
      </c>
      <c r="AZ541"/>
      <c r="BA541"/>
      <c r="BB541"/>
      <c r="BC541"/>
      <c r="BD541"/>
      <c r="BE541"/>
      <c r="BF541" s="152"/>
      <c r="BG541" s="152"/>
    </row>
    <row r="542" spans="1:59" s="90" customFormat="1" ht="14.25" customHeight="1" x14ac:dyDescent="0.2">
      <c r="A542" s="127"/>
      <c r="B542"/>
      <c r="C542" s="134"/>
      <c r="D542"/>
      <c r="E542"/>
      <c r="F542"/>
      <c r="G542"/>
      <c r="H542"/>
      <c r="I542"/>
      <c r="J542"/>
      <c r="K542"/>
      <c r="L542"/>
      <c r="M542"/>
      <c r="N542"/>
      <c r="O542"/>
      <c r="P542"/>
      <c r="Q542"/>
      <c r="R542"/>
      <c r="S542"/>
      <c r="T542"/>
      <c r="U542"/>
      <c r="V542"/>
      <c r="W542"/>
      <c r="X542" s="66"/>
      <c r="Y542" s="4"/>
      <c r="Z542" s="4"/>
      <c r="AA542" s="4"/>
      <c r="AB542" s="4"/>
      <c r="AC542" s="4"/>
      <c r="AD542" s="4"/>
      <c r="AE542" s="4"/>
      <c r="AF542" s="4"/>
      <c r="AG542"/>
      <c r="AH542"/>
      <c r="AI542"/>
      <c r="AJ542"/>
      <c r="AK542"/>
      <c r="AL542"/>
      <c r="AM542"/>
      <c r="AN542"/>
      <c r="AO542" s="148">
        <f t="shared" si="165"/>
        <v>8.9279000000000011</v>
      </c>
      <c r="AP542" s="195">
        <v>429</v>
      </c>
      <c r="AQ542" s="195" t="s">
        <v>523</v>
      </c>
      <c r="AR542" s="195" t="s">
        <v>520</v>
      </c>
      <c r="AS542" s="195" t="s">
        <v>529</v>
      </c>
      <c r="AT542" s="195" t="s">
        <v>528</v>
      </c>
      <c r="AU542" s="195" t="s">
        <v>530</v>
      </c>
      <c r="AV542" s="195" t="s">
        <v>527</v>
      </c>
      <c r="AW542" s="195" t="s">
        <v>525</v>
      </c>
      <c r="AX542" s="195" t="s">
        <v>521</v>
      </c>
      <c r="AZ542"/>
      <c r="BA542"/>
      <c r="BB542"/>
      <c r="BC542"/>
      <c r="BD542"/>
      <c r="BE542"/>
      <c r="BF542" s="152"/>
      <c r="BG542" s="152"/>
    </row>
    <row r="543" spans="1:59" s="90" customFormat="1" ht="14.25" customHeight="1" x14ac:dyDescent="0.2">
      <c r="A543" s="127"/>
      <c r="B543"/>
      <c r="C543" s="134"/>
      <c r="D543"/>
      <c r="E543"/>
      <c r="F543"/>
      <c r="G543"/>
      <c r="H543"/>
      <c r="I543"/>
      <c r="J543"/>
      <c r="K543"/>
      <c r="L543"/>
      <c r="M543"/>
      <c r="N543"/>
      <c r="O543"/>
      <c r="P543"/>
      <c r="Q543"/>
      <c r="R543"/>
      <c r="S543"/>
      <c r="T543"/>
      <c r="U543"/>
      <c r="V543"/>
      <c r="W543"/>
      <c r="X543" s="66"/>
      <c r="Y543" s="4"/>
      <c r="Z543" s="4"/>
      <c r="AA543" s="4"/>
      <c r="AB543" s="4"/>
      <c r="AC543" s="4"/>
      <c r="AD543" s="4"/>
      <c r="AE543" s="4"/>
      <c r="AF543" s="4"/>
      <c r="AG543"/>
      <c r="AH543"/>
      <c r="AI543"/>
      <c r="AJ543"/>
      <c r="AK543"/>
      <c r="AL543"/>
      <c r="AM543"/>
      <c r="AN543"/>
      <c r="AO543" s="148">
        <f t="shared" si="165"/>
        <v>8.9292000000000016</v>
      </c>
      <c r="AP543" s="195">
        <v>430</v>
      </c>
      <c r="AQ543" s="195" t="s">
        <v>523</v>
      </c>
      <c r="AR543" s="195" t="s">
        <v>520</v>
      </c>
      <c r="AS543" s="195" t="s">
        <v>529</v>
      </c>
      <c r="AT543" s="195" t="s">
        <v>528</v>
      </c>
      <c r="AU543" s="195" t="s">
        <v>530</v>
      </c>
      <c r="AV543" s="195" t="s">
        <v>527</v>
      </c>
      <c r="AW543" s="195" t="s">
        <v>521</v>
      </c>
      <c r="AX543" s="195" t="s">
        <v>526</v>
      </c>
      <c r="AZ543"/>
      <c r="BA543"/>
      <c r="BB543"/>
      <c r="BC543"/>
      <c r="BD543"/>
      <c r="BE543"/>
      <c r="BF543" s="152"/>
      <c r="BG543" s="152"/>
    </row>
    <row r="544" spans="1:59" s="90" customFormat="1" ht="14.25" customHeight="1" x14ac:dyDescent="0.2">
      <c r="A544" s="127"/>
      <c r="B544"/>
      <c r="C544" s="134"/>
      <c r="D544"/>
      <c r="E544"/>
      <c r="F544"/>
      <c r="G544"/>
      <c r="H544"/>
      <c r="I544"/>
      <c r="J544"/>
      <c r="K544"/>
      <c r="L544"/>
      <c r="M544"/>
      <c r="N544"/>
      <c r="O544"/>
      <c r="P544"/>
      <c r="Q544"/>
      <c r="R544"/>
      <c r="S544"/>
      <c r="T544"/>
      <c r="U544"/>
      <c r="V544"/>
      <c r="W544"/>
      <c r="X544" s="66"/>
      <c r="Y544" s="4"/>
      <c r="Z544" s="4"/>
      <c r="AA544" s="4"/>
      <c r="AB544" s="4"/>
      <c r="AC544" s="4"/>
      <c r="AD544" s="4"/>
      <c r="AE544" s="4"/>
      <c r="AF544" s="4"/>
      <c r="AG544"/>
      <c r="AH544"/>
      <c r="AI544"/>
      <c r="AJ544"/>
      <c r="AK544"/>
      <c r="AL544"/>
      <c r="AM544"/>
      <c r="AN544"/>
      <c r="AO544" s="148">
        <f t="shared" si="165"/>
        <v>8.9262000000000015</v>
      </c>
      <c r="AP544" s="195">
        <v>431</v>
      </c>
      <c r="AQ544" s="195" t="s">
        <v>528</v>
      </c>
      <c r="AR544" s="195" t="s">
        <v>520</v>
      </c>
      <c r="AS544" s="195" t="s">
        <v>529</v>
      </c>
      <c r="AT544" s="195" t="s">
        <v>527</v>
      </c>
      <c r="AU544" s="195" t="s">
        <v>530</v>
      </c>
      <c r="AV544" s="195" t="s">
        <v>524</v>
      </c>
      <c r="AW544" s="195" t="s">
        <v>525</v>
      </c>
      <c r="AX544" s="195" t="s">
        <v>526</v>
      </c>
      <c r="AZ544"/>
      <c r="BA544"/>
      <c r="BB544"/>
      <c r="BC544"/>
      <c r="BD544"/>
      <c r="BE544"/>
      <c r="BF544" s="152"/>
      <c r="BG544" s="152"/>
    </row>
    <row r="545" spans="1:59" s="90" customFormat="1" ht="14.25" customHeight="1" x14ac:dyDescent="0.2">
      <c r="A545" s="127"/>
      <c r="B545"/>
      <c r="C545" s="134"/>
      <c r="D545"/>
      <c r="E545"/>
      <c r="F545"/>
      <c r="G545"/>
      <c r="H545"/>
      <c r="I545"/>
      <c r="J545"/>
      <c r="K545"/>
      <c r="L545"/>
      <c r="M545"/>
      <c r="N545"/>
      <c r="O545"/>
      <c r="P545"/>
      <c r="Q545"/>
      <c r="R545"/>
      <c r="S545"/>
      <c r="T545"/>
      <c r="U545"/>
      <c r="V545"/>
      <c r="W545"/>
      <c r="X545" s="66"/>
      <c r="Y545" s="4"/>
      <c r="Z545" s="4"/>
      <c r="AA545" s="4"/>
      <c r="AB545" s="4"/>
      <c r="AC545" s="4"/>
      <c r="AD545" s="4"/>
      <c r="AE545" s="4"/>
      <c r="AF545" s="4"/>
      <c r="AG545"/>
      <c r="AH545"/>
      <c r="AI545"/>
      <c r="AJ545"/>
      <c r="AK545"/>
      <c r="AL545"/>
      <c r="AM545"/>
      <c r="AN545"/>
      <c r="AO545" s="148">
        <f t="shared" si="165"/>
        <v>8.9265000000000008</v>
      </c>
      <c r="AP545" s="195">
        <v>432</v>
      </c>
      <c r="AQ545" s="195" t="s">
        <v>521</v>
      </c>
      <c r="AR545" s="195" t="s">
        <v>524</v>
      </c>
      <c r="AS545" s="195" t="s">
        <v>529</v>
      </c>
      <c r="AT545" s="195" t="s">
        <v>528</v>
      </c>
      <c r="AU545" s="195" t="s">
        <v>530</v>
      </c>
      <c r="AV545" s="195" t="s">
        <v>527</v>
      </c>
      <c r="AW545" s="195" t="s">
        <v>525</v>
      </c>
      <c r="AX545" s="195" t="s">
        <v>526</v>
      </c>
      <c r="AZ545"/>
      <c r="BA545"/>
      <c r="BB545"/>
      <c r="BC545"/>
      <c r="BD545"/>
      <c r="BE545"/>
      <c r="BF545" s="152"/>
      <c r="BG545" s="152"/>
    </row>
    <row r="546" spans="1:59" s="90" customFormat="1" ht="14.25" customHeight="1" x14ac:dyDescent="0.2">
      <c r="A546" s="127"/>
      <c r="B546"/>
      <c r="C546" s="134"/>
      <c r="D546"/>
      <c r="E546"/>
      <c r="F546"/>
      <c r="G546"/>
      <c r="H546"/>
      <c r="I546"/>
      <c r="J546"/>
      <c r="K546"/>
      <c r="L546"/>
      <c r="M546"/>
      <c r="N546"/>
      <c r="O546"/>
      <c r="P546"/>
      <c r="Q546"/>
      <c r="R546"/>
      <c r="S546"/>
      <c r="T546"/>
      <c r="U546"/>
      <c r="V546"/>
      <c r="W546"/>
      <c r="X546" s="66"/>
      <c r="Y546" s="4"/>
      <c r="Z546" s="4"/>
      <c r="AA546" s="4"/>
      <c r="AB546" s="4"/>
      <c r="AC546" s="4"/>
      <c r="AD546" s="4"/>
      <c r="AE546" s="4"/>
      <c r="AF546" s="4"/>
      <c r="AG546"/>
      <c r="AH546"/>
      <c r="AI546"/>
      <c r="AJ546"/>
      <c r="AK546"/>
      <c r="AL546"/>
      <c r="AM546"/>
      <c r="AN546"/>
      <c r="AO546" s="148">
        <f t="shared" si="165"/>
        <v>8.9247000000000014</v>
      </c>
      <c r="AP546" s="195">
        <v>433</v>
      </c>
      <c r="AQ546" s="195" t="s">
        <v>528</v>
      </c>
      <c r="AR546" s="195" t="s">
        <v>520</v>
      </c>
      <c r="AS546" s="195" t="s">
        <v>529</v>
      </c>
      <c r="AT546" s="195" t="s">
        <v>527</v>
      </c>
      <c r="AU546" s="195" t="s">
        <v>530</v>
      </c>
      <c r="AV546" s="195" t="s">
        <v>524</v>
      </c>
      <c r="AW546" s="195" t="s">
        <v>525</v>
      </c>
      <c r="AX546" s="195" t="s">
        <v>521</v>
      </c>
      <c r="AZ546"/>
      <c r="BA546"/>
      <c r="BB546"/>
      <c r="BC546"/>
      <c r="BD546"/>
      <c r="BE546"/>
      <c r="BF546" s="152"/>
      <c r="BG546" s="152"/>
    </row>
    <row r="547" spans="1:59" s="90" customFormat="1" ht="14.25" customHeight="1" x14ac:dyDescent="0.2">
      <c r="A547" s="127"/>
      <c r="B547"/>
      <c r="C547" s="134"/>
      <c r="D547"/>
      <c r="E547"/>
      <c r="F547"/>
      <c r="G547"/>
      <c r="H547"/>
      <c r="I547"/>
      <c r="J547"/>
      <c r="K547"/>
      <c r="L547"/>
      <c r="M547"/>
      <c r="N547"/>
      <c r="O547"/>
      <c r="P547"/>
      <c r="Q547"/>
      <c r="R547"/>
      <c r="S547"/>
      <c r="T547"/>
      <c r="U547"/>
      <c r="V547"/>
      <c r="W547"/>
      <c r="X547" s="66"/>
      <c r="Y547" s="4"/>
      <c r="Z547" s="4"/>
      <c r="AA547" s="4"/>
      <c r="AB547" s="4"/>
      <c r="AC547" s="4"/>
      <c r="AD547" s="4"/>
      <c r="AE547" s="4"/>
      <c r="AF547" s="4"/>
      <c r="AG547"/>
      <c r="AH547"/>
      <c r="AI547"/>
      <c r="AJ547"/>
      <c r="AK547"/>
      <c r="AL547"/>
      <c r="AM547"/>
      <c r="AN547"/>
      <c r="AO547" s="148">
        <f t="shared" si="165"/>
        <v>8.9260000000000002</v>
      </c>
      <c r="AP547" s="195">
        <v>434</v>
      </c>
      <c r="AQ547" s="195" t="s">
        <v>528</v>
      </c>
      <c r="AR547" s="195" t="s">
        <v>520</v>
      </c>
      <c r="AS547" s="195" t="s">
        <v>529</v>
      </c>
      <c r="AT547" s="195" t="s">
        <v>527</v>
      </c>
      <c r="AU547" s="195" t="s">
        <v>530</v>
      </c>
      <c r="AV547" s="195" t="s">
        <v>524</v>
      </c>
      <c r="AW547" s="195" t="s">
        <v>521</v>
      </c>
      <c r="AX547" s="195" t="s">
        <v>526</v>
      </c>
      <c r="AZ547"/>
      <c r="BA547"/>
      <c r="BB547"/>
      <c r="BC547"/>
      <c r="BD547"/>
      <c r="BE547"/>
      <c r="BF547" s="152"/>
      <c r="BG547" s="152"/>
    </row>
    <row r="548" spans="1:59" s="90" customFormat="1" ht="14.25" customHeight="1" x14ac:dyDescent="0.2">
      <c r="A548" s="127"/>
      <c r="B548"/>
      <c r="C548" s="134"/>
      <c r="D548"/>
      <c r="E548"/>
      <c r="F548"/>
      <c r="G548"/>
      <c r="H548"/>
      <c r="I548"/>
      <c r="J548"/>
      <c r="K548"/>
      <c r="L548"/>
      <c r="M548"/>
      <c r="N548"/>
      <c r="O548"/>
      <c r="P548"/>
      <c r="Q548"/>
      <c r="R548"/>
      <c r="S548"/>
      <c r="T548"/>
      <c r="U548"/>
      <c r="V548"/>
      <c r="W548"/>
      <c r="X548" s="66"/>
      <c r="Y548" s="4"/>
      <c r="Z548" s="4"/>
      <c r="AA548" s="4"/>
      <c r="AB548" s="4"/>
      <c r="AC548" s="4"/>
      <c r="AD548" s="4"/>
      <c r="AE548" s="4"/>
      <c r="AF548" s="4"/>
      <c r="AG548"/>
      <c r="AH548"/>
      <c r="AI548"/>
      <c r="AJ548"/>
      <c r="AK548"/>
      <c r="AL548"/>
      <c r="AM548"/>
      <c r="AN548"/>
      <c r="AO548" s="148">
        <f t="shared" si="165"/>
        <v>8.9295000000000009</v>
      </c>
      <c r="AP548" s="195">
        <v>435</v>
      </c>
      <c r="AQ548" s="195" t="s">
        <v>523</v>
      </c>
      <c r="AR548" s="195" t="s">
        <v>524</v>
      </c>
      <c r="AS548" s="195" t="s">
        <v>529</v>
      </c>
      <c r="AT548" s="195" t="s">
        <v>528</v>
      </c>
      <c r="AU548" s="195" t="s">
        <v>530</v>
      </c>
      <c r="AV548" s="195" t="s">
        <v>527</v>
      </c>
      <c r="AW548" s="195" t="s">
        <v>525</v>
      </c>
      <c r="AX548" s="195" t="s">
        <v>526</v>
      </c>
      <c r="AZ548"/>
      <c r="BA548"/>
      <c r="BB548"/>
      <c r="BC548"/>
      <c r="BD548"/>
      <c r="BE548"/>
      <c r="BF548" s="152"/>
      <c r="BG548" s="152"/>
    </row>
    <row r="549" spans="1:59" s="90" customFormat="1" ht="14.25" customHeight="1" x14ac:dyDescent="0.2">
      <c r="A549" s="127"/>
      <c r="B549"/>
      <c r="C549" s="134"/>
      <c r="D549"/>
      <c r="E549"/>
      <c r="F549"/>
      <c r="G549"/>
      <c r="H549"/>
      <c r="I549"/>
      <c r="J549"/>
      <c r="K549"/>
      <c r="L549"/>
      <c r="M549"/>
      <c r="N549"/>
      <c r="O549"/>
      <c r="P549"/>
      <c r="Q549"/>
      <c r="R549"/>
      <c r="S549"/>
      <c r="T549"/>
      <c r="U549"/>
      <c r="V549"/>
      <c r="W549"/>
      <c r="X549" s="66"/>
      <c r="Y549" s="4"/>
      <c r="Z549" s="4"/>
      <c r="AA549" s="4"/>
      <c r="AB549" s="4"/>
      <c r="AC549" s="4"/>
      <c r="AD549" s="4"/>
      <c r="AE549" s="4"/>
      <c r="AF549" s="4"/>
      <c r="AG549"/>
      <c r="AH549"/>
      <c r="AI549"/>
      <c r="AJ549"/>
      <c r="AK549"/>
      <c r="AL549"/>
      <c r="AM549"/>
      <c r="AN549"/>
      <c r="AO549" s="148">
        <f t="shared" si="165"/>
        <v>8.9277000000000015</v>
      </c>
      <c r="AP549" s="195">
        <v>436</v>
      </c>
      <c r="AQ549" s="195" t="s">
        <v>523</v>
      </c>
      <c r="AR549" s="195" t="s">
        <v>524</v>
      </c>
      <c r="AS549" s="195" t="s">
        <v>529</v>
      </c>
      <c r="AT549" s="195" t="s">
        <v>528</v>
      </c>
      <c r="AU549" s="195" t="s">
        <v>530</v>
      </c>
      <c r="AV549" s="195" t="s">
        <v>527</v>
      </c>
      <c r="AW549" s="195" t="s">
        <v>525</v>
      </c>
      <c r="AX549" s="195" t="s">
        <v>520</v>
      </c>
      <c r="AZ549"/>
      <c r="BA549"/>
      <c r="BB549"/>
      <c r="BC549"/>
      <c r="BD549"/>
      <c r="BE549"/>
      <c r="BF549" s="152"/>
      <c r="BG549" s="152"/>
    </row>
    <row r="550" spans="1:59" s="90" customFormat="1" ht="14.25" customHeight="1" x14ac:dyDescent="0.2">
      <c r="A550" s="127"/>
      <c r="B550"/>
      <c r="C550" s="134"/>
      <c r="D550"/>
      <c r="E550"/>
      <c r="F550"/>
      <c r="G550"/>
      <c r="H550"/>
      <c r="I550"/>
      <c r="J550"/>
      <c r="K550"/>
      <c r="L550"/>
      <c r="M550"/>
      <c r="N550"/>
      <c r="O550"/>
      <c r="P550"/>
      <c r="Q550"/>
      <c r="R550"/>
      <c r="S550"/>
      <c r="T550"/>
      <c r="U550"/>
      <c r="V550"/>
      <c r="W550"/>
      <c r="X550" s="66"/>
      <c r="Y550" s="4"/>
      <c r="Z550" s="4"/>
      <c r="AA550" s="4"/>
      <c r="AB550" s="4"/>
      <c r="AC550" s="4"/>
      <c r="AD550" s="4"/>
      <c r="AE550" s="4"/>
      <c r="AF550" s="4"/>
      <c r="AG550"/>
      <c r="AH550"/>
      <c r="AI550"/>
      <c r="AJ550"/>
      <c r="AK550"/>
      <c r="AL550"/>
      <c r="AM550"/>
      <c r="AN550"/>
      <c r="AO550" s="148">
        <f t="shared" si="165"/>
        <v>8.9290000000000003</v>
      </c>
      <c r="AP550" s="195">
        <v>437</v>
      </c>
      <c r="AQ550" s="195" t="s">
        <v>523</v>
      </c>
      <c r="AR550" s="195" t="s">
        <v>524</v>
      </c>
      <c r="AS550" s="195" t="s">
        <v>529</v>
      </c>
      <c r="AT550" s="195" t="s">
        <v>528</v>
      </c>
      <c r="AU550" s="195" t="s">
        <v>530</v>
      </c>
      <c r="AV550" s="195" t="s">
        <v>527</v>
      </c>
      <c r="AW550" s="195" t="s">
        <v>520</v>
      </c>
      <c r="AX550" s="195" t="s">
        <v>526</v>
      </c>
      <c r="AZ550"/>
      <c r="BA550"/>
      <c r="BB550"/>
      <c r="BC550"/>
      <c r="BD550"/>
      <c r="BE550"/>
      <c r="BF550" s="152"/>
      <c r="BG550" s="152"/>
    </row>
    <row r="551" spans="1:59" s="90" customFormat="1" ht="14.25" customHeight="1" x14ac:dyDescent="0.2">
      <c r="A551" s="127"/>
      <c r="B551"/>
      <c r="C551" s="134"/>
      <c r="D551"/>
      <c r="E551"/>
      <c r="F551"/>
      <c r="G551"/>
      <c r="H551"/>
      <c r="I551"/>
      <c r="J551"/>
      <c r="K551"/>
      <c r="L551"/>
      <c r="M551"/>
      <c r="N551"/>
      <c r="O551"/>
      <c r="P551"/>
      <c r="Q551"/>
      <c r="R551"/>
      <c r="S551"/>
      <c r="T551"/>
      <c r="U551"/>
      <c r="V551"/>
      <c r="W551"/>
      <c r="X551" s="66"/>
      <c r="Y551" s="4"/>
      <c r="Z551" s="4"/>
      <c r="AA551" s="4"/>
      <c r="AB551" s="4"/>
      <c r="AC551" s="4"/>
      <c r="AD551" s="4"/>
      <c r="AE551" s="4"/>
      <c r="AF551" s="4"/>
      <c r="AG551"/>
      <c r="AH551"/>
      <c r="AI551"/>
      <c r="AJ551"/>
      <c r="AK551"/>
      <c r="AL551"/>
      <c r="AM551"/>
      <c r="AN551"/>
      <c r="AO551" s="148">
        <f t="shared" si="165"/>
        <v>8.9280000000000008</v>
      </c>
      <c r="AP551" s="195">
        <v>438</v>
      </c>
      <c r="AQ551" s="195" t="s">
        <v>523</v>
      </c>
      <c r="AR551" s="195" t="s">
        <v>524</v>
      </c>
      <c r="AS551" s="195" t="s">
        <v>529</v>
      </c>
      <c r="AT551" s="195" t="s">
        <v>528</v>
      </c>
      <c r="AU551" s="195" t="s">
        <v>530</v>
      </c>
      <c r="AV551" s="195" t="s">
        <v>527</v>
      </c>
      <c r="AW551" s="195" t="s">
        <v>525</v>
      </c>
      <c r="AX551" s="195" t="s">
        <v>521</v>
      </c>
      <c r="AZ551"/>
      <c r="BA551"/>
      <c r="BB551"/>
      <c r="BC551"/>
      <c r="BD551"/>
      <c r="BE551"/>
      <c r="BF551" s="152"/>
      <c r="BG551" s="152"/>
    </row>
    <row r="552" spans="1:59" s="90" customFormat="1" ht="14.25" customHeight="1" x14ac:dyDescent="0.2">
      <c r="A552" s="127"/>
      <c r="B552"/>
      <c r="C552" s="134"/>
      <c r="D552"/>
      <c r="E552"/>
      <c r="F552"/>
      <c r="G552"/>
      <c r="H552"/>
      <c r="I552"/>
      <c r="J552"/>
      <c r="K552"/>
      <c r="L552"/>
      <c r="M552"/>
      <c r="N552"/>
      <c r="O552"/>
      <c r="P552"/>
      <c r="Q552"/>
      <c r="R552"/>
      <c r="S552"/>
      <c r="T552"/>
      <c r="U552"/>
      <c r="V552"/>
      <c r="W552"/>
      <c r="X552" s="66"/>
      <c r="Y552" s="4"/>
      <c r="Z552" s="4"/>
      <c r="AA552" s="4"/>
      <c r="AB552" s="4"/>
      <c r="AC552" s="4"/>
      <c r="AD552" s="4"/>
      <c r="AE552" s="4"/>
      <c r="AF552" s="4"/>
      <c r="AG552"/>
      <c r="AH552"/>
      <c r="AI552"/>
      <c r="AJ552"/>
      <c r="AK552"/>
      <c r="AL552"/>
      <c r="AM552"/>
      <c r="AN552"/>
      <c r="AO552" s="148">
        <f t="shared" si="165"/>
        <v>8.9293000000000013</v>
      </c>
      <c r="AP552" s="195">
        <v>439</v>
      </c>
      <c r="AQ552" s="195" t="s">
        <v>523</v>
      </c>
      <c r="AR552" s="195" t="s">
        <v>524</v>
      </c>
      <c r="AS552" s="195" t="s">
        <v>529</v>
      </c>
      <c r="AT552" s="195" t="s">
        <v>528</v>
      </c>
      <c r="AU552" s="195" t="s">
        <v>530</v>
      </c>
      <c r="AV552" s="195" t="s">
        <v>527</v>
      </c>
      <c r="AW552" s="195" t="s">
        <v>521</v>
      </c>
      <c r="AX552" s="195" t="s">
        <v>526</v>
      </c>
      <c r="AZ552"/>
      <c r="BA552"/>
      <c r="BB552"/>
      <c r="BC552"/>
      <c r="BD552"/>
      <c r="BE552"/>
      <c r="BF552" s="152"/>
      <c r="BG552" s="152"/>
    </row>
    <row r="553" spans="1:59" s="90" customFormat="1" ht="14.25" customHeight="1" x14ac:dyDescent="0.2">
      <c r="A553" s="127"/>
      <c r="B553"/>
      <c r="C553" s="134"/>
      <c r="D553"/>
      <c r="E553"/>
      <c r="F553"/>
      <c r="G553"/>
      <c r="H553"/>
      <c r="I553"/>
      <c r="J553"/>
      <c r="K553"/>
      <c r="L553"/>
      <c r="M553"/>
      <c r="N553"/>
      <c r="O553"/>
      <c r="P553"/>
      <c r="Q553"/>
      <c r="R553"/>
      <c r="S553"/>
      <c r="T553"/>
      <c r="U553"/>
      <c r="V553"/>
      <c r="W553"/>
      <c r="X553" s="66"/>
      <c r="Y553" s="4"/>
      <c r="Z553" s="4"/>
      <c r="AA553" s="4"/>
      <c r="AB553" s="4"/>
      <c r="AC553" s="4"/>
      <c r="AD553" s="4"/>
      <c r="AE553" s="4"/>
      <c r="AF553" s="4"/>
      <c r="AG553"/>
      <c r="AH553"/>
      <c r="AI553"/>
      <c r="AJ553"/>
      <c r="AK553"/>
      <c r="AL553"/>
      <c r="AM553"/>
      <c r="AN553"/>
      <c r="AO553" s="148">
        <f t="shared" si="165"/>
        <v>8.9275000000000002</v>
      </c>
      <c r="AP553" s="195">
        <v>440</v>
      </c>
      <c r="AQ553" s="195" t="s">
        <v>523</v>
      </c>
      <c r="AR553" s="195" t="s">
        <v>524</v>
      </c>
      <c r="AS553" s="195" t="s">
        <v>529</v>
      </c>
      <c r="AT553" s="195" t="s">
        <v>528</v>
      </c>
      <c r="AU553" s="195" t="s">
        <v>530</v>
      </c>
      <c r="AV553" s="195" t="s">
        <v>527</v>
      </c>
      <c r="AW553" s="195" t="s">
        <v>521</v>
      </c>
      <c r="AX553" s="195" t="s">
        <v>520</v>
      </c>
      <c r="AZ553"/>
      <c r="BA553"/>
      <c r="BB553"/>
      <c r="BC553"/>
      <c r="BD553"/>
      <c r="BE553"/>
      <c r="BF553" s="152"/>
      <c r="BG553" s="152"/>
    </row>
    <row r="554" spans="1:59" s="90" customFormat="1" ht="14.25" customHeight="1" x14ac:dyDescent="0.2">
      <c r="A554" s="127"/>
      <c r="B554"/>
      <c r="C554" s="134"/>
      <c r="D554"/>
      <c r="E554"/>
      <c r="F554"/>
      <c r="G554"/>
      <c r="H554"/>
      <c r="I554"/>
      <c r="J554"/>
      <c r="K554"/>
      <c r="L554"/>
      <c r="M554"/>
      <c r="N554"/>
      <c r="O554"/>
      <c r="P554"/>
      <c r="Q554"/>
      <c r="R554"/>
      <c r="S554"/>
      <c r="T554"/>
      <c r="U554"/>
      <c r="V554"/>
      <c r="W554"/>
      <c r="X554" s="66"/>
      <c r="Y554" s="4"/>
      <c r="Z554" s="4"/>
      <c r="AA554" s="4"/>
      <c r="AB554" s="4"/>
      <c r="AC554" s="4"/>
      <c r="AD554" s="4"/>
      <c r="AE554" s="4"/>
      <c r="AF554" s="4"/>
      <c r="AG554"/>
      <c r="AH554"/>
      <c r="AI554"/>
      <c r="AJ554"/>
      <c r="AK554"/>
      <c r="AL554"/>
      <c r="AM554"/>
      <c r="AN554"/>
      <c r="AO554" s="148">
        <f t="shared" si="165"/>
        <v>8.9271000000000011</v>
      </c>
      <c r="AP554" s="195">
        <v>441</v>
      </c>
      <c r="AQ554" s="195" t="s">
        <v>528</v>
      </c>
      <c r="AR554" s="195" t="s">
        <v>520</v>
      </c>
      <c r="AS554" s="195" t="s">
        <v>529</v>
      </c>
      <c r="AT554" s="195" t="s">
        <v>527</v>
      </c>
      <c r="AU554" s="195" t="s">
        <v>530</v>
      </c>
      <c r="AV554" s="195" t="s">
        <v>522</v>
      </c>
      <c r="AW554" s="195" t="s">
        <v>525</v>
      </c>
      <c r="AX554" s="195" t="s">
        <v>526</v>
      </c>
      <c r="AZ554"/>
      <c r="BA554"/>
      <c r="BB554"/>
      <c r="BC554"/>
      <c r="BD554"/>
      <c r="BE554"/>
      <c r="BF554" s="152"/>
      <c r="BG554" s="152"/>
    </row>
    <row r="555" spans="1:59" s="90" customFormat="1" ht="14.25" customHeight="1" x14ac:dyDescent="0.2">
      <c r="A555" s="127"/>
      <c r="B555"/>
      <c r="C555" s="134"/>
      <c r="D555"/>
      <c r="E555"/>
      <c r="F555"/>
      <c r="G555"/>
      <c r="H555"/>
      <c r="I555"/>
      <c r="J555"/>
      <c r="K555"/>
      <c r="L555"/>
      <c r="M555"/>
      <c r="N555"/>
      <c r="O555"/>
      <c r="P555"/>
      <c r="Q555"/>
      <c r="R555"/>
      <c r="S555"/>
      <c r="T555"/>
      <c r="U555"/>
      <c r="V555"/>
      <c r="W555"/>
      <c r="X555" s="66"/>
      <c r="Y555" s="4"/>
      <c r="Z555" s="4"/>
      <c r="AA555" s="4"/>
      <c r="AB555" s="4"/>
      <c r="AC555" s="4"/>
      <c r="AD555" s="4"/>
      <c r="AE555" s="4"/>
      <c r="AF555" s="4"/>
      <c r="AG555"/>
      <c r="AH555"/>
      <c r="AI555"/>
      <c r="AJ555"/>
      <c r="AK555"/>
      <c r="AL555"/>
      <c r="AM555"/>
      <c r="AN555"/>
      <c r="AO555" s="148">
        <f t="shared" si="165"/>
        <v>8.9274000000000022</v>
      </c>
      <c r="AP555" s="195">
        <v>442</v>
      </c>
      <c r="AQ555" s="195" t="s">
        <v>528</v>
      </c>
      <c r="AR555" s="195" t="s">
        <v>521</v>
      </c>
      <c r="AS555" s="195" t="s">
        <v>529</v>
      </c>
      <c r="AT555" s="195" t="s">
        <v>527</v>
      </c>
      <c r="AU555" s="195" t="s">
        <v>530</v>
      </c>
      <c r="AV555" s="195" t="s">
        <v>522</v>
      </c>
      <c r="AW555" s="195" t="s">
        <v>525</v>
      </c>
      <c r="AX555" s="195" t="s">
        <v>526</v>
      </c>
      <c r="AZ555"/>
      <c r="BA555"/>
      <c r="BB555"/>
      <c r="BC555"/>
      <c r="BD555"/>
      <c r="BE555"/>
      <c r="BF555" s="152"/>
      <c r="BG555" s="152"/>
    </row>
    <row r="556" spans="1:59" s="90" customFormat="1" ht="14.25" customHeight="1" x14ac:dyDescent="0.2">
      <c r="A556" s="127"/>
      <c r="B556"/>
      <c r="C556" s="134"/>
      <c r="D556"/>
      <c r="E556"/>
      <c r="F556"/>
      <c r="G556"/>
      <c r="H556"/>
      <c r="I556"/>
      <c r="J556"/>
      <c r="K556"/>
      <c r="L556"/>
      <c r="M556"/>
      <c r="N556"/>
      <c r="O556"/>
      <c r="P556"/>
      <c r="Q556"/>
      <c r="R556"/>
      <c r="S556"/>
      <c r="T556"/>
      <c r="U556"/>
      <c r="V556"/>
      <c r="W556"/>
      <c r="X556" s="66"/>
      <c r="Y556" s="4"/>
      <c r="Z556" s="4"/>
      <c r="AA556" s="4"/>
      <c r="AB556" s="4"/>
      <c r="AC556" s="4"/>
      <c r="AD556" s="4"/>
      <c r="AE556" s="4"/>
      <c r="AF556" s="4"/>
      <c r="AG556"/>
      <c r="AH556"/>
      <c r="AI556"/>
      <c r="AJ556"/>
      <c r="AK556"/>
      <c r="AL556"/>
      <c r="AM556"/>
      <c r="AN556"/>
      <c r="AO556" s="148">
        <f t="shared" si="165"/>
        <v>8.9256000000000011</v>
      </c>
      <c r="AP556" s="195">
        <v>443</v>
      </c>
      <c r="AQ556" s="195" t="s">
        <v>528</v>
      </c>
      <c r="AR556" s="195" t="s">
        <v>520</v>
      </c>
      <c r="AS556" s="195" t="s">
        <v>529</v>
      </c>
      <c r="AT556" s="195" t="s">
        <v>527</v>
      </c>
      <c r="AU556" s="195" t="s">
        <v>530</v>
      </c>
      <c r="AV556" s="195" t="s">
        <v>522</v>
      </c>
      <c r="AW556" s="195" t="s">
        <v>525</v>
      </c>
      <c r="AX556" s="195" t="s">
        <v>521</v>
      </c>
      <c r="AZ556"/>
      <c r="BA556"/>
      <c r="BB556"/>
      <c r="BC556"/>
      <c r="BD556"/>
      <c r="BE556"/>
      <c r="BF556" s="152"/>
      <c r="BG556" s="152"/>
    </row>
    <row r="557" spans="1:59" s="90" customFormat="1" ht="14.25" customHeight="1" x14ac:dyDescent="0.2">
      <c r="A557" s="127"/>
      <c r="B557"/>
      <c r="C557" s="134"/>
      <c r="D557"/>
      <c r="E557"/>
      <c r="F557"/>
      <c r="G557"/>
      <c r="H557"/>
      <c r="I557"/>
      <c r="J557"/>
      <c r="K557"/>
      <c r="L557"/>
      <c r="M557"/>
      <c r="N557"/>
      <c r="O557"/>
      <c r="P557"/>
      <c r="Q557"/>
      <c r="R557"/>
      <c r="S557"/>
      <c r="T557"/>
      <c r="U557"/>
      <c r="V557"/>
      <c r="W557"/>
      <c r="X557" s="66"/>
      <c r="Y557" s="4"/>
      <c r="Z557" s="4"/>
      <c r="AA557" s="4"/>
      <c r="AB557" s="4"/>
      <c r="AC557" s="4"/>
      <c r="AD557" s="4"/>
      <c r="AE557" s="4"/>
      <c r="AF557" s="4"/>
      <c r="AG557"/>
      <c r="AH557"/>
      <c r="AI557"/>
      <c r="AJ557"/>
      <c r="AK557"/>
      <c r="AL557"/>
      <c r="AM557"/>
      <c r="AN557"/>
      <c r="AO557" s="148">
        <f t="shared" si="165"/>
        <v>8.9268999999999998</v>
      </c>
      <c r="AP557" s="195">
        <v>444</v>
      </c>
      <c r="AQ557" s="195" t="s">
        <v>528</v>
      </c>
      <c r="AR557" s="195" t="s">
        <v>520</v>
      </c>
      <c r="AS557" s="195" t="s">
        <v>529</v>
      </c>
      <c r="AT557" s="195" t="s">
        <v>527</v>
      </c>
      <c r="AU557" s="195" t="s">
        <v>530</v>
      </c>
      <c r="AV557" s="195" t="s">
        <v>522</v>
      </c>
      <c r="AW557" s="195" t="s">
        <v>521</v>
      </c>
      <c r="AX557" s="195" t="s">
        <v>526</v>
      </c>
      <c r="AZ557"/>
      <c r="BA557"/>
      <c r="BB557"/>
      <c r="BC557"/>
      <c r="BD557"/>
      <c r="BE557"/>
      <c r="BF557" s="152"/>
      <c r="BG557" s="152"/>
    </row>
    <row r="558" spans="1:59" s="90" customFormat="1" ht="14.25" customHeight="1" x14ac:dyDescent="0.2">
      <c r="A558" s="127"/>
      <c r="B558"/>
      <c r="C558" s="134"/>
      <c r="D558"/>
      <c r="E558"/>
      <c r="F558"/>
      <c r="G558"/>
      <c r="H558"/>
      <c r="I558"/>
      <c r="J558"/>
      <c r="K558"/>
      <c r="L558"/>
      <c r="M558"/>
      <c r="N558"/>
      <c r="O558"/>
      <c r="P558"/>
      <c r="Q558"/>
      <c r="R558"/>
      <c r="S558"/>
      <c r="T558"/>
      <c r="U558"/>
      <c r="V558"/>
      <c r="W558"/>
      <c r="X558" s="66"/>
      <c r="Y558" s="4"/>
      <c r="Z558" s="4"/>
      <c r="AA558" s="4"/>
      <c r="AB558" s="4"/>
      <c r="AC558" s="4"/>
      <c r="AD558" s="4"/>
      <c r="AE558" s="4"/>
      <c r="AF558" s="4"/>
      <c r="AG558"/>
      <c r="AH558"/>
      <c r="AI558"/>
      <c r="AJ558"/>
      <c r="AK558"/>
      <c r="AL558"/>
      <c r="AM558"/>
      <c r="AN558"/>
      <c r="AO558" s="148">
        <f t="shared" si="165"/>
        <v>8.9304000000000023</v>
      </c>
      <c r="AP558" s="195">
        <v>445</v>
      </c>
      <c r="AQ558" s="195" t="s">
        <v>523</v>
      </c>
      <c r="AR558" s="195" t="s">
        <v>522</v>
      </c>
      <c r="AS558" s="195" t="s">
        <v>529</v>
      </c>
      <c r="AT558" s="195" t="s">
        <v>528</v>
      </c>
      <c r="AU558" s="195" t="s">
        <v>530</v>
      </c>
      <c r="AV558" s="195" t="s">
        <v>527</v>
      </c>
      <c r="AW558" s="195" t="s">
        <v>525</v>
      </c>
      <c r="AX558" s="195" t="s">
        <v>526</v>
      </c>
      <c r="AZ558"/>
      <c r="BA558"/>
      <c r="BB558"/>
      <c r="BC558"/>
      <c r="BD558"/>
      <c r="BE558"/>
      <c r="BF558" s="152"/>
      <c r="BG558" s="152"/>
    </row>
    <row r="559" spans="1:59" s="90" customFormat="1" ht="14.25" customHeight="1" x14ac:dyDescent="0.2">
      <c r="A559" s="127"/>
      <c r="B559"/>
      <c r="C559" s="134"/>
      <c r="D559"/>
      <c r="E559"/>
      <c r="F559"/>
      <c r="G559"/>
      <c r="H559"/>
      <c r="I559"/>
      <c r="J559"/>
      <c r="K559"/>
      <c r="L559"/>
      <c r="M559"/>
      <c r="N559"/>
      <c r="O559"/>
      <c r="P559"/>
      <c r="Q559"/>
      <c r="R559"/>
      <c r="S559"/>
      <c r="T559"/>
      <c r="U559"/>
      <c r="V559"/>
      <c r="W559"/>
      <c r="X559" s="66"/>
      <c r="Y559" s="4"/>
      <c r="Z559" s="4"/>
      <c r="AA559" s="4"/>
      <c r="AB559" s="4"/>
      <c r="AC559" s="4"/>
      <c r="AD559" s="4"/>
      <c r="AE559" s="4"/>
      <c r="AF559" s="4"/>
      <c r="AG559"/>
      <c r="AH559"/>
      <c r="AI559"/>
      <c r="AJ559"/>
      <c r="AK559"/>
      <c r="AL559"/>
      <c r="AM559"/>
      <c r="AN559"/>
      <c r="AO559" s="148">
        <f t="shared" si="165"/>
        <v>8.9286000000000012</v>
      </c>
      <c r="AP559" s="195">
        <v>446</v>
      </c>
      <c r="AQ559" s="195" t="s">
        <v>528</v>
      </c>
      <c r="AR559" s="195" t="s">
        <v>520</v>
      </c>
      <c r="AS559" s="195" t="s">
        <v>529</v>
      </c>
      <c r="AT559" s="195" t="s">
        <v>527</v>
      </c>
      <c r="AU559" s="195" t="s">
        <v>530</v>
      </c>
      <c r="AV559" s="195" t="s">
        <v>522</v>
      </c>
      <c r="AW559" s="195" t="s">
        <v>525</v>
      </c>
      <c r="AX559" s="195" t="s">
        <v>523</v>
      </c>
      <c r="AZ559"/>
      <c r="BA559"/>
      <c r="BB559"/>
      <c r="BC559"/>
      <c r="BD559"/>
      <c r="BE559"/>
      <c r="BF559" s="152"/>
      <c r="BG559" s="152"/>
    </row>
    <row r="560" spans="1:59" s="90" customFormat="1" ht="14.25" customHeight="1" x14ac:dyDescent="0.2">
      <c r="A560" s="127"/>
      <c r="B560"/>
      <c r="C560" s="134"/>
      <c r="D560"/>
      <c r="E560"/>
      <c r="F560"/>
      <c r="G560"/>
      <c r="H560"/>
      <c r="I560"/>
      <c r="J560"/>
      <c r="K560"/>
      <c r="L560"/>
      <c r="M560"/>
      <c r="N560"/>
      <c r="O560"/>
      <c r="P560"/>
      <c r="Q560"/>
      <c r="R560"/>
      <c r="S560"/>
      <c r="T560"/>
      <c r="U560"/>
      <c r="V560"/>
      <c r="W560"/>
      <c r="X560" s="66"/>
      <c r="Y560" s="4"/>
      <c r="Z560" s="4"/>
      <c r="AA560" s="4"/>
      <c r="AB560" s="4"/>
      <c r="AC560" s="4"/>
      <c r="AD560" s="4"/>
      <c r="AE560" s="4"/>
      <c r="AF560" s="4"/>
      <c r="AG560"/>
      <c r="AH560"/>
      <c r="AI560"/>
      <c r="AJ560"/>
      <c r="AK560"/>
      <c r="AL560"/>
      <c r="AM560"/>
      <c r="AN560"/>
      <c r="AO560" s="148">
        <f t="shared" si="165"/>
        <v>8.9298999999999999</v>
      </c>
      <c r="AP560" s="195">
        <v>447</v>
      </c>
      <c r="AQ560" s="195" t="s">
        <v>523</v>
      </c>
      <c r="AR560" s="195" t="s">
        <v>520</v>
      </c>
      <c r="AS560" s="195" t="s">
        <v>529</v>
      </c>
      <c r="AT560" s="195" t="s">
        <v>528</v>
      </c>
      <c r="AU560" s="195" t="s">
        <v>530</v>
      </c>
      <c r="AV560" s="195" t="s">
        <v>522</v>
      </c>
      <c r="AW560" s="195" t="s">
        <v>527</v>
      </c>
      <c r="AX560" s="195" t="s">
        <v>526</v>
      </c>
      <c r="AZ560"/>
      <c r="BA560"/>
      <c r="BB560"/>
      <c r="BC560"/>
      <c r="BD560"/>
      <c r="BE560"/>
      <c r="BF560" s="152"/>
      <c r="BG560" s="152"/>
    </row>
    <row r="561" spans="1:59" s="90" customFormat="1" ht="14.25" customHeight="1" x14ac:dyDescent="0.2">
      <c r="A561" s="127"/>
      <c r="B561"/>
      <c r="C561" s="134"/>
      <c r="D561"/>
      <c r="E561"/>
      <c r="F561"/>
      <c r="G561"/>
      <c r="H561"/>
      <c r="I561"/>
      <c r="J561"/>
      <c r="K561"/>
      <c r="L561"/>
      <c r="M561"/>
      <c r="N561"/>
      <c r="O561"/>
      <c r="P561"/>
      <c r="Q561"/>
      <c r="R561"/>
      <c r="S561"/>
      <c r="T561"/>
      <c r="U561"/>
      <c r="V561"/>
      <c r="W561"/>
      <c r="X561" s="66"/>
      <c r="Y561" s="4"/>
      <c r="Z561" s="4"/>
      <c r="AA561" s="4"/>
      <c r="AB561" s="4"/>
      <c r="AC561" s="4"/>
      <c r="AD561" s="4"/>
      <c r="AE561" s="4"/>
      <c r="AF561" s="4"/>
      <c r="AG561"/>
      <c r="AH561"/>
      <c r="AI561"/>
      <c r="AJ561"/>
      <c r="AK561"/>
      <c r="AL561"/>
      <c r="AM561"/>
      <c r="AN561"/>
      <c r="AO561" s="148">
        <f t="shared" si="165"/>
        <v>8.9289000000000023</v>
      </c>
      <c r="AP561" s="195">
        <v>448</v>
      </c>
      <c r="AQ561" s="195" t="s">
        <v>523</v>
      </c>
      <c r="AR561" s="195" t="s">
        <v>522</v>
      </c>
      <c r="AS561" s="195" t="s">
        <v>529</v>
      </c>
      <c r="AT561" s="195" t="s">
        <v>528</v>
      </c>
      <c r="AU561" s="195" t="s">
        <v>530</v>
      </c>
      <c r="AV561" s="195" t="s">
        <v>527</v>
      </c>
      <c r="AW561" s="195" t="s">
        <v>525</v>
      </c>
      <c r="AX561" s="195" t="s">
        <v>521</v>
      </c>
      <c r="AZ561"/>
      <c r="BA561"/>
      <c r="BB561"/>
      <c r="BC561"/>
      <c r="BD561"/>
      <c r="BE561"/>
      <c r="BF561" s="152"/>
      <c r="BG561" s="152"/>
    </row>
    <row r="562" spans="1:59" s="90" customFormat="1" ht="14.25" customHeight="1" x14ac:dyDescent="0.2">
      <c r="A562" s="127"/>
      <c r="B562"/>
      <c r="C562" s="134"/>
      <c r="D562"/>
      <c r="E562"/>
      <c r="F562"/>
      <c r="G562"/>
      <c r="H562"/>
      <c r="I562"/>
      <c r="J562"/>
      <c r="K562"/>
      <c r="L562"/>
      <c r="M562"/>
      <c r="N562"/>
      <c r="O562"/>
      <c r="P562"/>
      <c r="Q562"/>
      <c r="R562"/>
      <c r="S562"/>
      <c r="T562"/>
      <c r="U562"/>
      <c r="V562"/>
      <c r="W562"/>
      <c r="X562" s="66"/>
      <c r="Y562" s="4"/>
      <c r="Z562" s="4"/>
      <c r="AA562" s="4"/>
      <c r="AB562" s="4"/>
      <c r="AC562" s="4"/>
      <c r="AD562" s="4"/>
      <c r="AE562" s="4"/>
      <c r="AF562" s="4"/>
      <c r="AG562"/>
      <c r="AH562"/>
      <c r="AI562"/>
      <c r="AJ562"/>
      <c r="AK562"/>
      <c r="AL562"/>
      <c r="AM562"/>
      <c r="AN562"/>
      <c r="AO562" s="148">
        <f t="shared" ref="AO562:AO608" si="166">VLOOKUP(AQ562,$AN$98:$BA$109,14,0)+VLOOKUP(AR562,$AN$98:$BA$109,14,0)+VLOOKUP(AS562,$AN$98:$BA$109,14,0)+VLOOKUP(AT562,$AN$98:$BA$109,14,0)+VLOOKUP(AU562,$AN$98:$BA$109,14,0)+VLOOKUP(AV562,$AN$98:$BA$109,14,0)+VLOOKUP(AW562,$AN$98:$BA$109,14,0)+VLOOKUP(AX562,$AN$98:$BA$109,14,0)</f>
        <v>8.930200000000001</v>
      </c>
      <c r="AP562" s="195">
        <v>449</v>
      </c>
      <c r="AQ562" s="195" t="s">
        <v>523</v>
      </c>
      <c r="AR562" s="195" t="s">
        <v>522</v>
      </c>
      <c r="AS562" s="195" t="s">
        <v>529</v>
      </c>
      <c r="AT562" s="195" t="s">
        <v>528</v>
      </c>
      <c r="AU562" s="195" t="s">
        <v>530</v>
      </c>
      <c r="AV562" s="195" t="s">
        <v>527</v>
      </c>
      <c r="AW562" s="195" t="s">
        <v>521</v>
      </c>
      <c r="AX562" s="195" t="s">
        <v>526</v>
      </c>
      <c r="AZ562"/>
      <c r="BA562"/>
      <c r="BB562"/>
      <c r="BC562"/>
      <c r="BD562"/>
      <c r="BE562"/>
      <c r="BF562" s="152"/>
      <c r="BG562" s="152"/>
    </row>
    <row r="563" spans="1:59" s="90" customFormat="1" ht="14.25" customHeight="1" x14ac:dyDescent="0.2">
      <c r="A563" s="127"/>
      <c r="B563"/>
      <c r="C563" s="134"/>
      <c r="D563"/>
      <c r="E563"/>
      <c r="F563"/>
      <c r="G563"/>
      <c r="H563"/>
      <c r="I563"/>
      <c r="J563"/>
      <c r="K563"/>
      <c r="L563"/>
      <c r="M563"/>
      <c r="N563"/>
      <c r="O563"/>
      <c r="P563"/>
      <c r="Q563"/>
      <c r="R563"/>
      <c r="S563"/>
      <c r="T563"/>
      <c r="U563"/>
      <c r="V563"/>
      <c r="W563"/>
      <c r="X563" s="66"/>
      <c r="Y563" s="4"/>
      <c r="Z563" s="4"/>
      <c r="AA563" s="4"/>
      <c r="AB563" s="4"/>
      <c r="AC563" s="4"/>
      <c r="AD563" s="4"/>
      <c r="AE563" s="4"/>
      <c r="AF563" s="4"/>
      <c r="AG563"/>
      <c r="AH563"/>
      <c r="AI563"/>
      <c r="AJ563"/>
      <c r="AK563"/>
      <c r="AL563"/>
      <c r="AM563"/>
      <c r="AN563"/>
      <c r="AO563" s="148">
        <f t="shared" si="166"/>
        <v>8.9284000000000017</v>
      </c>
      <c r="AP563" s="195">
        <v>450</v>
      </c>
      <c r="AQ563" s="195" t="s">
        <v>523</v>
      </c>
      <c r="AR563" s="195" t="s">
        <v>520</v>
      </c>
      <c r="AS563" s="195" t="s">
        <v>529</v>
      </c>
      <c r="AT563" s="195" t="s">
        <v>528</v>
      </c>
      <c r="AU563" s="195" t="s">
        <v>530</v>
      </c>
      <c r="AV563" s="195" t="s">
        <v>522</v>
      </c>
      <c r="AW563" s="195" t="s">
        <v>527</v>
      </c>
      <c r="AX563" s="195" t="s">
        <v>521</v>
      </c>
      <c r="AZ563"/>
      <c r="BA563"/>
      <c r="BB563"/>
      <c r="BC563"/>
      <c r="BD563"/>
      <c r="BE563"/>
      <c r="BF563" s="152"/>
      <c r="BG563" s="152"/>
    </row>
    <row r="564" spans="1:59" s="90" customFormat="1" ht="14.25" customHeight="1" x14ac:dyDescent="0.2">
      <c r="A564" s="127"/>
      <c r="B564"/>
      <c r="C564" s="134"/>
      <c r="D564"/>
      <c r="E564"/>
      <c r="F564"/>
      <c r="G564"/>
      <c r="H564"/>
      <c r="I564"/>
      <c r="J564"/>
      <c r="K564"/>
      <c r="L564"/>
      <c r="M564"/>
      <c r="N564"/>
      <c r="O564"/>
      <c r="P564"/>
      <c r="Q564"/>
      <c r="R564"/>
      <c r="S564"/>
      <c r="T564"/>
      <c r="U564"/>
      <c r="V564"/>
      <c r="W564"/>
      <c r="X564" s="66"/>
      <c r="Y564" s="4"/>
      <c r="Z564" s="4"/>
      <c r="AA564" s="4"/>
      <c r="AB564" s="4"/>
      <c r="AC564" s="4"/>
      <c r="AD564" s="4"/>
      <c r="AE564" s="4"/>
      <c r="AF564" s="4"/>
      <c r="AG564"/>
      <c r="AH564"/>
      <c r="AI564"/>
      <c r="AJ564"/>
      <c r="AK564"/>
      <c r="AL564"/>
      <c r="AM564"/>
      <c r="AN564"/>
      <c r="AO564" s="148">
        <f t="shared" si="166"/>
        <v>8.9272000000000009</v>
      </c>
      <c r="AP564" s="195">
        <v>451</v>
      </c>
      <c r="AQ564" s="195" t="s">
        <v>528</v>
      </c>
      <c r="AR564" s="195" t="s">
        <v>524</v>
      </c>
      <c r="AS564" s="195" t="s">
        <v>529</v>
      </c>
      <c r="AT564" s="195" t="s">
        <v>527</v>
      </c>
      <c r="AU564" s="195" t="s">
        <v>530</v>
      </c>
      <c r="AV564" s="195" t="s">
        <v>522</v>
      </c>
      <c r="AW564" s="195" t="s">
        <v>525</v>
      </c>
      <c r="AX564" s="195" t="s">
        <v>526</v>
      </c>
      <c r="AZ564"/>
      <c r="BA564"/>
      <c r="BB564"/>
      <c r="BC564"/>
      <c r="BD564"/>
      <c r="BE564"/>
      <c r="BF564" s="152"/>
      <c r="BG564" s="152"/>
    </row>
    <row r="565" spans="1:59" s="90" customFormat="1" ht="14.25" customHeight="1" x14ac:dyDescent="0.2">
      <c r="A565" s="127"/>
      <c r="B565"/>
      <c r="C565" s="134"/>
      <c r="D565"/>
      <c r="E565"/>
      <c r="F565"/>
      <c r="G565"/>
      <c r="H565"/>
      <c r="I565"/>
      <c r="J565"/>
      <c r="K565"/>
      <c r="L565"/>
      <c r="M565"/>
      <c r="N565"/>
      <c r="O565"/>
      <c r="P565"/>
      <c r="Q565"/>
      <c r="R565"/>
      <c r="S565"/>
      <c r="T565"/>
      <c r="U565"/>
      <c r="V565"/>
      <c r="W565"/>
      <c r="X565" s="66"/>
      <c r="Y565" s="4"/>
      <c r="Z565" s="4"/>
      <c r="AA565" s="4"/>
      <c r="AB565" s="4"/>
      <c r="AC565" s="4"/>
      <c r="AD565" s="4"/>
      <c r="AE565" s="4"/>
      <c r="AF565" s="4"/>
      <c r="AG565"/>
      <c r="AH565"/>
      <c r="AI565"/>
      <c r="AJ565"/>
      <c r="AK565"/>
      <c r="AL565"/>
      <c r="AM565"/>
      <c r="AN565"/>
      <c r="AO565" s="148">
        <f t="shared" si="166"/>
        <v>8.9254000000000016</v>
      </c>
      <c r="AP565" s="195">
        <v>452</v>
      </c>
      <c r="AQ565" s="195" t="s">
        <v>528</v>
      </c>
      <c r="AR565" s="195" t="s">
        <v>524</v>
      </c>
      <c r="AS565" s="195" t="s">
        <v>529</v>
      </c>
      <c r="AT565" s="195" t="s">
        <v>527</v>
      </c>
      <c r="AU565" s="195" t="s">
        <v>530</v>
      </c>
      <c r="AV565" s="195" t="s">
        <v>522</v>
      </c>
      <c r="AW565" s="195" t="s">
        <v>525</v>
      </c>
      <c r="AX565" s="195" t="s">
        <v>520</v>
      </c>
      <c r="AZ565"/>
      <c r="BA565"/>
      <c r="BB565"/>
      <c r="BC565"/>
      <c r="BD565"/>
      <c r="BE565"/>
      <c r="BF565" s="152"/>
      <c r="BG565" s="152"/>
    </row>
    <row r="566" spans="1:59" s="90" customFormat="1" ht="14.25" customHeight="1" x14ac:dyDescent="0.2">
      <c r="A566" s="127"/>
      <c r="B566"/>
      <c r="C566" s="134"/>
      <c r="D566"/>
      <c r="E566"/>
      <c r="F566"/>
      <c r="G566"/>
      <c r="H566"/>
      <c r="I566"/>
      <c r="J566"/>
      <c r="K566"/>
      <c r="L566"/>
      <c r="M566"/>
      <c r="N566"/>
      <c r="O566"/>
      <c r="P566"/>
      <c r="Q566"/>
      <c r="R566"/>
      <c r="S566"/>
      <c r="T566"/>
      <c r="U566"/>
      <c r="V566"/>
      <c r="W566"/>
      <c r="X566" s="66"/>
      <c r="Y566" s="4"/>
      <c r="Z566" s="4"/>
      <c r="AA566" s="4"/>
      <c r="AB566" s="4"/>
      <c r="AC566" s="4"/>
      <c r="AD566" s="4"/>
      <c r="AE566" s="4"/>
      <c r="AF566" s="4"/>
      <c r="AG566"/>
      <c r="AH566"/>
      <c r="AI566"/>
      <c r="AJ566"/>
      <c r="AK566"/>
      <c r="AL566"/>
      <c r="AM566"/>
      <c r="AN566"/>
      <c r="AO566" s="148">
        <f t="shared" si="166"/>
        <v>8.9267000000000003</v>
      </c>
      <c r="AP566" s="195">
        <v>453</v>
      </c>
      <c r="AQ566" s="195" t="s">
        <v>528</v>
      </c>
      <c r="AR566" s="195" t="s">
        <v>524</v>
      </c>
      <c r="AS566" s="195" t="s">
        <v>529</v>
      </c>
      <c r="AT566" s="195" t="s">
        <v>527</v>
      </c>
      <c r="AU566" s="195" t="s">
        <v>530</v>
      </c>
      <c r="AV566" s="195" t="s">
        <v>522</v>
      </c>
      <c r="AW566" s="195" t="s">
        <v>520</v>
      </c>
      <c r="AX566" s="195" t="s">
        <v>526</v>
      </c>
      <c r="AZ566"/>
      <c r="BA566"/>
      <c r="BB566"/>
      <c r="BC566"/>
      <c r="BD566"/>
      <c r="BE566"/>
      <c r="BF566" s="152"/>
      <c r="BG566" s="152"/>
    </row>
    <row r="567" spans="1:59" s="90" customFormat="1" ht="14.25" customHeight="1" x14ac:dyDescent="0.2">
      <c r="A567" s="127"/>
      <c r="B567"/>
      <c r="C567" s="134"/>
      <c r="D567"/>
      <c r="E567"/>
      <c r="F567"/>
      <c r="G567"/>
      <c r="H567"/>
      <c r="I567"/>
      <c r="J567"/>
      <c r="K567"/>
      <c r="L567"/>
      <c r="M567"/>
      <c r="N567"/>
      <c r="O567"/>
      <c r="P567"/>
      <c r="Q567"/>
      <c r="R567"/>
      <c r="S567"/>
      <c r="T567"/>
      <c r="U567"/>
      <c r="V567"/>
      <c r="W567"/>
      <c r="X567" s="66"/>
      <c r="Y567" s="4"/>
      <c r="Z567" s="4"/>
      <c r="AA567" s="4"/>
      <c r="AB567" s="4"/>
      <c r="AC567" s="4"/>
      <c r="AD567" s="4"/>
      <c r="AE567" s="4"/>
      <c r="AF567" s="4"/>
      <c r="AG567"/>
      <c r="AH567"/>
      <c r="AI567"/>
      <c r="AJ567"/>
      <c r="AK567"/>
      <c r="AL567"/>
      <c r="AM567"/>
      <c r="AN567"/>
      <c r="AO567" s="148">
        <f t="shared" si="166"/>
        <v>8.9257000000000009</v>
      </c>
      <c r="AP567" s="195">
        <v>454</v>
      </c>
      <c r="AQ567" s="195" t="s">
        <v>528</v>
      </c>
      <c r="AR567" s="195" t="s">
        <v>524</v>
      </c>
      <c r="AS567" s="195" t="s">
        <v>529</v>
      </c>
      <c r="AT567" s="195" t="s">
        <v>527</v>
      </c>
      <c r="AU567" s="195" t="s">
        <v>530</v>
      </c>
      <c r="AV567" s="195" t="s">
        <v>522</v>
      </c>
      <c r="AW567" s="195" t="s">
        <v>525</v>
      </c>
      <c r="AX567" s="195" t="s">
        <v>521</v>
      </c>
      <c r="AZ567"/>
      <c r="BA567"/>
      <c r="BB567"/>
      <c r="BC567"/>
      <c r="BD567"/>
      <c r="BE567"/>
      <c r="BF567" s="152"/>
      <c r="BG567" s="152"/>
    </row>
    <row r="568" spans="1:59" s="90" customFormat="1" ht="14.25" customHeight="1" x14ac:dyDescent="0.2">
      <c r="A568" s="127"/>
      <c r="B568"/>
      <c r="C568" s="134"/>
      <c r="D568"/>
      <c r="E568"/>
      <c r="F568"/>
      <c r="G568"/>
      <c r="H568"/>
      <c r="I568"/>
      <c r="J568"/>
      <c r="K568"/>
      <c r="L568"/>
      <c r="M568"/>
      <c r="N568"/>
      <c r="O568"/>
      <c r="P568"/>
      <c r="Q568"/>
      <c r="R568"/>
      <c r="S568"/>
      <c r="T568"/>
      <c r="U568"/>
      <c r="V568"/>
      <c r="W568"/>
      <c r="X568" s="66"/>
      <c r="Y568" s="4"/>
      <c r="Z568" s="4"/>
      <c r="AA568" s="4"/>
      <c r="AB568" s="4"/>
      <c r="AC568" s="4"/>
      <c r="AD568" s="4"/>
      <c r="AE568" s="4"/>
      <c r="AF568" s="4"/>
      <c r="AG568"/>
      <c r="AH568"/>
      <c r="AI568"/>
      <c r="AJ568"/>
      <c r="AK568"/>
      <c r="AL568"/>
      <c r="AM568"/>
      <c r="AN568"/>
      <c r="AO568" s="148">
        <f t="shared" si="166"/>
        <v>8.9269999999999996</v>
      </c>
      <c r="AP568" s="195">
        <v>455</v>
      </c>
      <c r="AQ568" s="195" t="s">
        <v>528</v>
      </c>
      <c r="AR568" s="195" t="s">
        <v>524</v>
      </c>
      <c r="AS568" s="195" t="s">
        <v>529</v>
      </c>
      <c r="AT568" s="195" t="s">
        <v>527</v>
      </c>
      <c r="AU568" s="195" t="s">
        <v>530</v>
      </c>
      <c r="AV568" s="195" t="s">
        <v>522</v>
      </c>
      <c r="AW568" s="195" t="s">
        <v>521</v>
      </c>
      <c r="AX568" s="195" t="s">
        <v>526</v>
      </c>
      <c r="AZ568"/>
      <c r="BA568"/>
      <c r="BB568"/>
      <c r="BC568"/>
      <c r="BD568"/>
      <c r="BE568"/>
      <c r="BF568" s="152"/>
      <c r="BG568" s="152"/>
    </row>
    <row r="569" spans="1:59" s="90" customFormat="1" ht="14.25" customHeight="1" x14ac:dyDescent="0.2">
      <c r="A569" s="127"/>
      <c r="B569"/>
      <c r="C569" s="134"/>
      <c r="D569"/>
      <c r="E569"/>
      <c r="F569"/>
      <c r="G569"/>
      <c r="H569"/>
      <c r="I569"/>
      <c r="J569"/>
      <c r="K569"/>
      <c r="L569"/>
      <c r="M569"/>
      <c r="N569"/>
      <c r="O569"/>
      <c r="P569"/>
      <c r="Q569"/>
      <c r="R569"/>
      <c r="S569"/>
      <c r="T569"/>
      <c r="U569"/>
      <c r="V569"/>
      <c r="W569"/>
      <c r="X569" s="66"/>
      <c r="Y569" s="4"/>
      <c r="Z569" s="4"/>
      <c r="AA569" s="4"/>
      <c r="AB569" s="4"/>
      <c r="AC569" s="4"/>
      <c r="AD569" s="4"/>
      <c r="AE569" s="4"/>
      <c r="AF569" s="4"/>
      <c r="AG569"/>
      <c r="AH569"/>
      <c r="AI569"/>
      <c r="AJ569"/>
      <c r="AK569"/>
      <c r="AL569"/>
      <c r="AM569"/>
      <c r="AN569"/>
      <c r="AO569" s="148">
        <f t="shared" si="166"/>
        <v>8.9252000000000002</v>
      </c>
      <c r="AP569" s="195">
        <v>456</v>
      </c>
      <c r="AQ569" s="195" t="s">
        <v>528</v>
      </c>
      <c r="AR569" s="195" t="s">
        <v>524</v>
      </c>
      <c r="AS569" s="195" t="s">
        <v>529</v>
      </c>
      <c r="AT569" s="195" t="s">
        <v>527</v>
      </c>
      <c r="AU569" s="195" t="s">
        <v>530</v>
      </c>
      <c r="AV569" s="195" t="s">
        <v>522</v>
      </c>
      <c r="AW569" s="195" t="s">
        <v>521</v>
      </c>
      <c r="AX569" s="195" t="s">
        <v>520</v>
      </c>
      <c r="AZ569"/>
      <c r="BA569"/>
      <c r="BB569"/>
      <c r="BC569"/>
      <c r="BD569"/>
      <c r="BE569"/>
      <c r="BF569" s="152"/>
      <c r="BG569" s="152"/>
    </row>
    <row r="570" spans="1:59" s="90" customFormat="1" ht="14.25" customHeight="1" x14ac:dyDescent="0.2">
      <c r="A570" s="127"/>
      <c r="B570"/>
      <c r="C570" s="134"/>
      <c r="D570"/>
      <c r="E570"/>
      <c r="F570"/>
      <c r="G570"/>
      <c r="H570"/>
      <c r="I570"/>
      <c r="J570"/>
      <c r="K570"/>
      <c r="L570"/>
      <c r="M570"/>
      <c r="N570"/>
      <c r="O570"/>
      <c r="P570"/>
      <c r="Q570"/>
      <c r="R570"/>
      <c r="S570"/>
      <c r="T570"/>
      <c r="U570"/>
      <c r="V570"/>
      <c r="W570"/>
      <c r="X570" s="66"/>
      <c r="Y570" s="4"/>
      <c r="Z570" s="4"/>
      <c r="AA570" s="4"/>
      <c r="AB570" s="4"/>
      <c r="AC570" s="4"/>
      <c r="AD570" s="4"/>
      <c r="AE570" s="4"/>
      <c r="AF570" s="4"/>
      <c r="AG570"/>
      <c r="AH570"/>
      <c r="AI570"/>
      <c r="AJ570"/>
      <c r="AK570"/>
      <c r="AL570"/>
      <c r="AM570"/>
      <c r="AN570"/>
      <c r="AO570" s="148">
        <f t="shared" si="166"/>
        <v>8.928700000000001</v>
      </c>
      <c r="AP570" s="195">
        <v>457</v>
      </c>
      <c r="AQ570" s="195" t="s">
        <v>528</v>
      </c>
      <c r="AR570" s="195" t="s">
        <v>524</v>
      </c>
      <c r="AS570" s="195" t="s">
        <v>529</v>
      </c>
      <c r="AT570" s="195" t="s">
        <v>527</v>
      </c>
      <c r="AU570" s="195" t="s">
        <v>530</v>
      </c>
      <c r="AV570" s="195" t="s">
        <v>522</v>
      </c>
      <c r="AW570" s="195" t="s">
        <v>525</v>
      </c>
      <c r="AX570" s="195" t="s">
        <v>523</v>
      </c>
      <c r="AZ570"/>
      <c r="BA570"/>
      <c r="BB570"/>
      <c r="BC570"/>
      <c r="BD570"/>
      <c r="BE570"/>
      <c r="BF570" s="152"/>
      <c r="BG570" s="152"/>
    </row>
    <row r="571" spans="1:59" s="90" customFormat="1" ht="14.25" customHeight="1" x14ac:dyDescent="0.2">
      <c r="A571" s="127"/>
      <c r="B571"/>
      <c r="C571" s="134"/>
      <c r="D571"/>
      <c r="E571"/>
      <c r="F571"/>
      <c r="G571"/>
      <c r="H571"/>
      <c r="I571"/>
      <c r="J571"/>
      <c r="K571"/>
      <c r="L571"/>
      <c r="M571"/>
      <c r="N571"/>
      <c r="O571"/>
      <c r="P571"/>
      <c r="Q571"/>
      <c r="R571"/>
      <c r="S571"/>
      <c r="T571"/>
      <c r="U571"/>
      <c r="V571"/>
      <c r="W571"/>
      <c r="X571" s="66"/>
      <c r="Y571" s="4"/>
      <c r="Z571" s="4"/>
      <c r="AA571" s="4"/>
      <c r="AB571" s="4"/>
      <c r="AC571" s="4"/>
      <c r="AD571" s="4"/>
      <c r="AE571" s="4"/>
      <c r="AF571" s="4"/>
      <c r="AG571"/>
      <c r="AH571"/>
      <c r="AI571"/>
      <c r="AJ571"/>
      <c r="AK571"/>
      <c r="AL571"/>
      <c r="AM571"/>
      <c r="AN571"/>
      <c r="AO571" s="148">
        <f t="shared" si="166"/>
        <v>8.93</v>
      </c>
      <c r="AP571" s="195">
        <v>458</v>
      </c>
      <c r="AQ571" s="195" t="s">
        <v>523</v>
      </c>
      <c r="AR571" s="195" t="s">
        <v>524</v>
      </c>
      <c r="AS571" s="195" t="s">
        <v>529</v>
      </c>
      <c r="AT571" s="195" t="s">
        <v>528</v>
      </c>
      <c r="AU571" s="195" t="s">
        <v>530</v>
      </c>
      <c r="AV571" s="195" t="s">
        <v>522</v>
      </c>
      <c r="AW571" s="195" t="s">
        <v>527</v>
      </c>
      <c r="AX571" s="195" t="s">
        <v>526</v>
      </c>
      <c r="AZ571"/>
      <c r="BA571"/>
      <c r="BB571"/>
      <c r="BC571"/>
      <c r="BD571"/>
      <c r="BE571"/>
      <c r="BF571" s="152"/>
      <c r="BG571" s="152"/>
    </row>
    <row r="572" spans="1:59" s="90" customFormat="1" ht="14.25" customHeight="1" x14ac:dyDescent="0.2">
      <c r="A572" s="127"/>
      <c r="B572"/>
      <c r="C572" s="134"/>
      <c r="D572"/>
      <c r="E572"/>
      <c r="F572"/>
      <c r="G572"/>
      <c r="H572"/>
      <c r="I572"/>
      <c r="J572"/>
      <c r="K572"/>
      <c r="L572"/>
      <c r="M572"/>
      <c r="N572"/>
      <c r="O572"/>
      <c r="P572"/>
      <c r="Q572"/>
      <c r="R572"/>
      <c r="S572"/>
      <c r="T572"/>
      <c r="U572"/>
      <c r="V572"/>
      <c r="W572"/>
      <c r="X572" s="66"/>
      <c r="Y572" s="4"/>
      <c r="Z572" s="4"/>
      <c r="AA572" s="4"/>
      <c r="AB572" s="4"/>
      <c r="AC572" s="4"/>
      <c r="AD572" s="4"/>
      <c r="AE572" s="4"/>
      <c r="AF572" s="4"/>
      <c r="AG572"/>
      <c r="AH572"/>
      <c r="AI572"/>
      <c r="AJ572"/>
      <c r="AK572"/>
      <c r="AL572"/>
      <c r="AM572"/>
      <c r="AN572"/>
      <c r="AO572" s="148">
        <f t="shared" si="166"/>
        <v>8.9282000000000004</v>
      </c>
      <c r="AP572" s="195">
        <v>459</v>
      </c>
      <c r="AQ572" s="195" t="s">
        <v>523</v>
      </c>
      <c r="AR572" s="195" t="s">
        <v>524</v>
      </c>
      <c r="AS572" s="195" t="s">
        <v>529</v>
      </c>
      <c r="AT572" s="195" t="s">
        <v>528</v>
      </c>
      <c r="AU572" s="195" t="s">
        <v>530</v>
      </c>
      <c r="AV572" s="195" t="s">
        <v>522</v>
      </c>
      <c r="AW572" s="195" t="s">
        <v>527</v>
      </c>
      <c r="AX572" s="195" t="s">
        <v>520</v>
      </c>
      <c r="AZ572"/>
      <c r="BA572"/>
      <c r="BB572"/>
      <c r="BC572"/>
      <c r="BD572"/>
      <c r="BE572"/>
      <c r="BF572" s="152"/>
      <c r="BG572" s="152"/>
    </row>
    <row r="573" spans="1:59" s="90" customFormat="1" ht="14.25" customHeight="1" x14ac:dyDescent="0.2">
      <c r="A573" s="127"/>
      <c r="B573"/>
      <c r="C573" s="134"/>
      <c r="D573"/>
      <c r="E573"/>
      <c r="F573"/>
      <c r="G573"/>
      <c r="H573"/>
      <c r="I573"/>
      <c r="J573"/>
      <c r="K573"/>
      <c r="L573"/>
      <c r="M573"/>
      <c r="N573"/>
      <c r="O573"/>
      <c r="P573"/>
      <c r="Q573"/>
      <c r="R573"/>
      <c r="S573"/>
      <c r="T573"/>
      <c r="U573"/>
      <c r="V573"/>
      <c r="W573"/>
      <c r="X573" s="66"/>
      <c r="Y573" s="4"/>
      <c r="Z573" s="4"/>
      <c r="AA573" s="4"/>
      <c r="AB573" s="4"/>
      <c r="AC573" s="4"/>
      <c r="AD573" s="4"/>
      <c r="AE573" s="4"/>
      <c r="AF573" s="4"/>
      <c r="AG573"/>
      <c r="AH573"/>
      <c r="AI573"/>
      <c r="AJ573"/>
      <c r="AK573"/>
      <c r="AL573"/>
      <c r="AM573"/>
      <c r="AN573"/>
      <c r="AO573" s="148">
        <f t="shared" si="166"/>
        <v>8.9285000000000014</v>
      </c>
      <c r="AP573" s="195">
        <v>460</v>
      </c>
      <c r="AQ573" s="195" t="s">
        <v>523</v>
      </c>
      <c r="AR573" s="195" t="s">
        <v>524</v>
      </c>
      <c r="AS573" s="195" t="s">
        <v>529</v>
      </c>
      <c r="AT573" s="195" t="s">
        <v>528</v>
      </c>
      <c r="AU573" s="195" t="s">
        <v>530</v>
      </c>
      <c r="AV573" s="195" t="s">
        <v>522</v>
      </c>
      <c r="AW573" s="195" t="s">
        <v>527</v>
      </c>
      <c r="AX573" s="195" t="s">
        <v>521</v>
      </c>
      <c r="AZ573"/>
      <c r="BA573"/>
      <c r="BB573"/>
      <c r="BC573"/>
      <c r="BD573"/>
      <c r="BE573"/>
      <c r="BF573" s="152"/>
      <c r="BG573" s="152"/>
    </row>
    <row r="574" spans="1:59" s="90" customFormat="1" ht="14.25" customHeight="1" x14ac:dyDescent="0.2">
      <c r="A574" s="127"/>
      <c r="B574"/>
      <c r="C574" s="134"/>
      <c r="D574"/>
      <c r="E574"/>
      <c r="F574"/>
      <c r="G574"/>
      <c r="H574"/>
      <c r="I574"/>
      <c r="J574"/>
      <c r="K574"/>
      <c r="L574"/>
      <c r="M574"/>
      <c r="N574"/>
      <c r="O574"/>
      <c r="P574"/>
      <c r="Q574"/>
      <c r="R574"/>
      <c r="S574"/>
      <c r="T574"/>
      <c r="U574"/>
      <c r="V574"/>
      <c r="W574"/>
      <c r="X574" s="66"/>
      <c r="Y574" s="4"/>
      <c r="Z574" s="4"/>
      <c r="AA574" s="4"/>
      <c r="AB574" s="4"/>
      <c r="AC574" s="4"/>
      <c r="AD574" s="4"/>
      <c r="AE574" s="4"/>
      <c r="AF574" s="4"/>
      <c r="AG574"/>
      <c r="AH574"/>
      <c r="AI574"/>
      <c r="AJ574"/>
      <c r="AK574"/>
      <c r="AL574"/>
      <c r="AM574"/>
      <c r="AN574"/>
      <c r="AO574" s="148">
        <f t="shared" si="166"/>
        <v>8.9267000000000003</v>
      </c>
      <c r="AP574" s="195">
        <v>461</v>
      </c>
      <c r="AQ574" s="195" t="s">
        <v>519</v>
      </c>
      <c r="AR574" s="195" t="s">
        <v>520</v>
      </c>
      <c r="AS574" s="195" t="s">
        <v>529</v>
      </c>
      <c r="AT574" s="195" t="s">
        <v>528</v>
      </c>
      <c r="AU574" s="195" t="s">
        <v>530</v>
      </c>
      <c r="AV574" s="195" t="s">
        <v>527</v>
      </c>
      <c r="AW574" s="195" t="s">
        <v>525</v>
      </c>
      <c r="AX574" s="195" t="s">
        <v>526</v>
      </c>
      <c r="AZ574"/>
      <c r="BA574"/>
      <c r="BB574"/>
      <c r="BC574"/>
      <c r="BD574"/>
      <c r="BE574"/>
      <c r="BF574" s="152"/>
      <c r="BG574" s="152"/>
    </row>
    <row r="575" spans="1:59" s="90" customFormat="1" ht="14.25" customHeight="1" x14ac:dyDescent="0.2">
      <c r="A575" s="127"/>
      <c r="B575"/>
      <c r="C575" s="134"/>
      <c r="D575"/>
      <c r="E575"/>
      <c r="F575"/>
      <c r="G575"/>
      <c r="H575"/>
      <c r="I575"/>
      <c r="J575"/>
      <c r="K575"/>
      <c r="L575"/>
      <c r="M575"/>
      <c r="N575"/>
      <c r="O575"/>
      <c r="P575"/>
      <c r="Q575"/>
      <c r="R575"/>
      <c r="S575"/>
      <c r="T575"/>
      <c r="U575"/>
      <c r="V575"/>
      <c r="W575"/>
      <c r="X575" s="66"/>
      <c r="Y575" s="4"/>
      <c r="Z575" s="4"/>
      <c r="AA575" s="4"/>
      <c r="AB575" s="4"/>
      <c r="AC575" s="4"/>
      <c r="AD575" s="4"/>
      <c r="AE575" s="4"/>
      <c r="AF575" s="4"/>
      <c r="AG575"/>
      <c r="AH575"/>
      <c r="AI575"/>
      <c r="AJ575"/>
      <c r="AK575"/>
      <c r="AL575"/>
      <c r="AM575"/>
      <c r="AN575"/>
      <c r="AO575" s="148">
        <f t="shared" si="166"/>
        <v>8.9270000000000014</v>
      </c>
      <c r="AP575" s="195">
        <v>462</v>
      </c>
      <c r="AQ575" s="195" t="s">
        <v>519</v>
      </c>
      <c r="AR575" s="195" t="s">
        <v>521</v>
      </c>
      <c r="AS575" s="195" t="s">
        <v>529</v>
      </c>
      <c r="AT575" s="195" t="s">
        <v>528</v>
      </c>
      <c r="AU575" s="195" t="s">
        <v>530</v>
      </c>
      <c r="AV575" s="195" t="s">
        <v>527</v>
      </c>
      <c r="AW575" s="195" t="s">
        <v>525</v>
      </c>
      <c r="AX575" s="195" t="s">
        <v>526</v>
      </c>
      <c r="AZ575"/>
      <c r="BA575"/>
      <c r="BB575"/>
      <c r="BC575"/>
      <c r="BD575"/>
      <c r="BE575"/>
      <c r="BF575" s="152"/>
      <c r="BG575" s="152"/>
    </row>
    <row r="576" spans="1:59" s="90" customFormat="1" ht="14.25" customHeight="1" x14ac:dyDescent="0.2">
      <c r="A576" s="127"/>
      <c r="B576"/>
      <c r="C576" s="134"/>
      <c r="D576"/>
      <c r="E576"/>
      <c r="F576"/>
      <c r="G576"/>
      <c r="H576"/>
      <c r="I576"/>
      <c r="J576"/>
      <c r="K576"/>
      <c r="L576"/>
      <c r="M576"/>
      <c r="N576"/>
      <c r="O576"/>
      <c r="P576"/>
      <c r="Q576"/>
      <c r="R576"/>
      <c r="S576"/>
      <c r="T576"/>
      <c r="U576"/>
      <c r="V576"/>
      <c r="W576"/>
      <c r="X576" s="66"/>
      <c r="Y576" s="4"/>
      <c r="Z576" s="4"/>
      <c r="AA576" s="4"/>
      <c r="AB576" s="4"/>
      <c r="AC576" s="4"/>
      <c r="AD576" s="4"/>
      <c r="AE576" s="4"/>
      <c r="AF576" s="4"/>
      <c r="AG576"/>
      <c r="AH576"/>
      <c r="AI576"/>
      <c r="AJ576"/>
      <c r="AK576"/>
      <c r="AL576"/>
      <c r="AM576"/>
      <c r="AN576"/>
      <c r="AO576" s="148">
        <f t="shared" si="166"/>
        <v>8.925200000000002</v>
      </c>
      <c r="AP576" s="195">
        <v>463</v>
      </c>
      <c r="AQ576" s="195" t="s">
        <v>519</v>
      </c>
      <c r="AR576" s="195" t="s">
        <v>520</v>
      </c>
      <c r="AS576" s="195" t="s">
        <v>529</v>
      </c>
      <c r="AT576" s="195" t="s">
        <v>528</v>
      </c>
      <c r="AU576" s="195" t="s">
        <v>530</v>
      </c>
      <c r="AV576" s="195" t="s">
        <v>527</v>
      </c>
      <c r="AW576" s="195" t="s">
        <v>525</v>
      </c>
      <c r="AX576" s="195" t="s">
        <v>521</v>
      </c>
      <c r="AZ576"/>
      <c r="BA576"/>
      <c r="BB576"/>
      <c r="BC576"/>
      <c r="BD576"/>
      <c r="BE576"/>
      <c r="BF576" s="152"/>
      <c r="BG576" s="152"/>
    </row>
    <row r="577" spans="1:59" s="90" customFormat="1" ht="14.25" customHeight="1" x14ac:dyDescent="0.2">
      <c r="A577" s="127"/>
      <c r="B577"/>
      <c r="C577" s="134"/>
      <c r="D577"/>
      <c r="E577"/>
      <c r="F577"/>
      <c r="G577"/>
      <c r="H577"/>
      <c r="I577"/>
      <c r="J577"/>
      <c r="K577"/>
      <c r="L577"/>
      <c r="M577"/>
      <c r="N577"/>
      <c r="O577"/>
      <c r="P577"/>
      <c r="Q577"/>
      <c r="R577"/>
      <c r="S577"/>
      <c r="T577"/>
      <c r="U577"/>
      <c r="V577"/>
      <c r="W577"/>
      <c r="X577" s="66"/>
      <c r="Y577" s="4"/>
      <c r="Z577" s="4"/>
      <c r="AA577" s="4"/>
      <c r="AB577" s="4"/>
      <c r="AC577" s="4"/>
      <c r="AD577" s="4"/>
      <c r="AE577" s="4"/>
      <c r="AF577" s="4"/>
      <c r="AG577"/>
      <c r="AH577"/>
      <c r="AI577"/>
      <c r="AJ577"/>
      <c r="AK577"/>
      <c r="AL577"/>
      <c r="AM577"/>
      <c r="AN577"/>
      <c r="AO577" s="148">
        <f t="shared" si="166"/>
        <v>8.9265000000000008</v>
      </c>
      <c r="AP577" s="195">
        <v>464</v>
      </c>
      <c r="AQ577" s="195" t="s">
        <v>519</v>
      </c>
      <c r="AR577" s="195" t="s">
        <v>520</v>
      </c>
      <c r="AS577" s="195" t="s">
        <v>529</v>
      </c>
      <c r="AT577" s="195" t="s">
        <v>528</v>
      </c>
      <c r="AU577" s="195" t="s">
        <v>530</v>
      </c>
      <c r="AV577" s="195" t="s">
        <v>527</v>
      </c>
      <c r="AW577" s="195" t="s">
        <v>521</v>
      </c>
      <c r="AX577" s="195" t="s">
        <v>526</v>
      </c>
      <c r="AZ577"/>
      <c r="BA577"/>
      <c r="BB577"/>
      <c r="BC577"/>
      <c r="BD577"/>
      <c r="BE577"/>
      <c r="BF577" s="152"/>
      <c r="BG577" s="152"/>
    </row>
    <row r="578" spans="1:59" s="90" customFormat="1" ht="14.25" customHeight="1" x14ac:dyDescent="0.2">
      <c r="A578" s="127"/>
      <c r="B578"/>
      <c r="C578" s="134"/>
      <c r="D578"/>
      <c r="E578"/>
      <c r="F578"/>
      <c r="G578"/>
      <c r="H578"/>
      <c r="I578"/>
      <c r="J578"/>
      <c r="K578"/>
      <c r="L578"/>
      <c r="M578"/>
      <c r="N578"/>
      <c r="O578"/>
      <c r="P578"/>
      <c r="Q578"/>
      <c r="R578"/>
      <c r="S578"/>
      <c r="T578"/>
      <c r="U578"/>
      <c r="V578"/>
      <c r="W578"/>
      <c r="X578" s="66"/>
      <c r="Y578" s="4"/>
      <c r="Z578" s="4"/>
      <c r="AA578" s="4"/>
      <c r="AB578" s="4"/>
      <c r="AC578" s="4"/>
      <c r="AD578" s="4"/>
      <c r="AE578" s="4"/>
      <c r="AF578" s="4"/>
      <c r="AG578"/>
      <c r="AH578"/>
      <c r="AI578"/>
      <c r="AJ578"/>
      <c r="AK578"/>
      <c r="AL578"/>
      <c r="AM578"/>
      <c r="AN578"/>
      <c r="AO578" s="148">
        <f t="shared" si="166"/>
        <v>8.9300000000000015</v>
      </c>
      <c r="AP578" s="195">
        <v>465</v>
      </c>
      <c r="AQ578" s="195" t="s">
        <v>523</v>
      </c>
      <c r="AR578" s="195" t="s">
        <v>519</v>
      </c>
      <c r="AS578" s="195" t="s">
        <v>529</v>
      </c>
      <c r="AT578" s="195" t="s">
        <v>528</v>
      </c>
      <c r="AU578" s="195" t="s">
        <v>530</v>
      </c>
      <c r="AV578" s="195" t="s">
        <v>527</v>
      </c>
      <c r="AW578" s="195" t="s">
        <v>525</v>
      </c>
      <c r="AX578" s="195" t="s">
        <v>526</v>
      </c>
      <c r="AZ578"/>
      <c r="BA578"/>
      <c r="BB578"/>
      <c r="BC578"/>
      <c r="BD578"/>
      <c r="BE578"/>
      <c r="BF578" s="152"/>
      <c r="BG578" s="152"/>
    </row>
    <row r="579" spans="1:59" s="90" customFormat="1" ht="14.25" customHeight="1" x14ac:dyDescent="0.2">
      <c r="A579" s="127"/>
      <c r="B579"/>
      <c r="C579" s="134"/>
      <c r="D579"/>
      <c r="E579"/>
      <c r="F579"/>
      <c r="G579"/>
      <c r="H579"/>
      <c r="I579"/>
      <c r="J579"/>
      <c r="K579"/>
      <c r="L579"/>
      <c r="M579"/>
      <c r="N579"/>
      <c r="O579"/>
      <c r="P579"/>
      <c r="Q579"/>
      <c r="R579"/>
      <c r="S579"/>
      <c r="T579"/>
      <c r="U579"/>
      <c r="V579"/>
      <c r="W579"/>
      <c r="X579" s="66"/>
      <c r="Y579" s="4"/>
      <c r="Z579" s="4"/>
      <c r="AA579" s="4"/>
      <c r="AB579" s="4"/>
      <c r="AC579" s="4"/>
      <c r="AD579" s="4"/>
      <c r="AE579" s="4"/>
      <c r="AF579" s="4"/>
      <c r="AG579"/>
      <c r="AH579"/>
      <c r="AI579"/>
      <c r="AJ579"/>
      <c r="AK579"/>
      <c r="AL579"/>
      <c r="AM579"/>
      <c r="AN579"/>
      <c r="AO579" s="148">
        <f t="shared" si="166"/>
        <v>8.9282000000000004</v>
      </c>
      <c r="AP579" s="195">
        <v>466</v>
      </c>
      <c r="AQ579" s="195" t="s">
        <v>523</v>
      </c>
      <c r="AR579" s="195" t="s">
        <v>520</v>
      </c>
      <c r="AS579" s="195" t="s">
        <v>529</v>
      </c>
      <c r="AT579" s="195" t="s">
        <v>528</v>
      </c>
      <c r="AU579" s="195" t="s">
        <v>530</v>
      </c>
      <c r="AV579" s="195" t="s">
        <v>527</v>
      </c>
      <c r="AW579" s="195" t="s">
        <v>525</v>
      </c>
      <c r="AX579" s="195" t="s">
        <v>519</v>
      </c>
      <c r="AZ579"/>
      <c r="BA579"/>
      <c r="BB579"/>
      <c r="BC579"/>
      <c r="BD579"/>
      <c r="BE579"/>
      <c r="BF579" s="152"/>
      <c r="BG579" s="152"/>
    </row>
    <row r="580" spans="1:59" s="90" customFormat="1" ht="14.25" customHeight="1" x14ac:dyDescent="0.2">
      <c r="A580" s="127"/>
      <c r="B580"/>
      <c r="C580" s="134"/>
      <c r="D580"/>
      <c r="E580"/>
      <c r="F580"/>
      <c r="G580"/>
      <c r="H580"/>
      <c r="I580"/>
      <c r="J580"/>
      <c r="K580"/>
      <c r="L580"/>
      <c r="M580"/>
      <c r="N580"/>
      <c r="O580"/>
      <c r="P580"/>
      <c r="Q580"/>
      <c r="R580"/>
      <c r="S580"/>
      <c r="T580"/>
      <c r="U580"/>
      <c r="V580"/>
      <c r="W580"/>
      <c r="X580" s="66"/>
      <c r="Y580" s="4"/>
      <c r="Z580" s="4"/>
      <c r="AA580" s="4"/>
      <c r="AB580" s="4"/>
      <c r="AC580" s="4"/>
      <c r="AD580" s="4"/>
      <c r="AE580" s="4"/>
      <c r="AF580" s="4"/>
      <c r="AG580"/>
      <c r="AH580"/>
      <c r="AI580"/>
      <c r="AJ580"/>
      <c r="AK580"/>
      <c r="AL580"/>
      <c r="AM580"/>
      <c r="AN580"/>
      <c r="AO580" s="148">
        <f t="shared" si="166"/>
        <v>8.9295000000000009</v>
      </c>
      <c r="AP580" s="195">
        <v>467</v>
      </c>
      <c r="AQ580" s="195" t="s">
        <v>523</v>
      </c>
      <c r="AR580" s="195" t="s">
        <v>520</v>
      </c>
      <c r="AS580" s="195" t="s">
        <v>529</v>
      </c>
      <c r="AT580" s="195" t="s">
        <v>528</v>
      </c>
      <c r="AU580" s="195" t="s">
        <v>530</v>
      </c>
      <c r="AV580" s="195" t="s">
        <v>527</v>
      </c>
      <c r="AW580" s="195" t="s">
        <v>519</v>
      </c>
      <c r="AX580" s="195" t="s">
        <v>526</v>
      </c>
      <c r="AZ580"/>
      <c r="BA580"/>
      <c r="BB580"/>
      <c r="BC580"/>
      <c r="BD580"/>
      <c r="BE580"/>
      <c r="BF580" s="152"/>
      <c r="BG580" s="152"/>
    </row>
    <row r="581" spans="1:59" s="90" customFormat="1" ht="14.25" customHeight="1" x14ac:dyDescent="0.2">
      <c r="A581" s="127"/>
      <c r="B581"/>
      <c r="C581" s="134"/>
      <c r="D581"/>
      <c r="E581"/>
      <c r="F581"/>
      <c r="G581"/>
      <c r="H581"/>
      <c r="I581"/>
      <c r="J581"/>
      <c r="K581"/>
      <c r="L581"/>
      <c r="M581"/>
      <c r="N581"/>
      <c r="O581"/>
      <c r="P581"/>
      <c r="Q581"/>
      <c r="R581"/>
      <c r="S581"/>
      <c r="T581"/>
      <c r="U581"/>
      <c r="V581"/>
      <c r="W581"/>
      <c r="X581" s="66"/>
      <c r="Y581" s="4"/>
      <c r="Z581" s="4"/>
      <c r="AA581" s="4"/>
      <c r="AB581" s="4"/>
      <c r="AC581" s="4"/>
      <c r="AD581" s="4"/>
      <c r="AE581" s="4"/>
      <c r="AF581" s="4"/>
      <c r="AG581"/>
      <c r="AH581"/>
      <c r="AI581"/>
      <c r="AJ581"/>
      <c r="AK581"/>
      <c r="AL581"/>
      <c r="AM581"/>
      <c r="AN581"/>
      <c r="AO581" s="148">
        <f t="shared" si="166"/>
        <v>8.9285000000000014</v>
      </c>
      <c r="AP581" s="195">
        <v>468</v>
      </c>
      <c r="AQ581" s="195" t="s">
        <v>523</v>
      </c>
      <c r="AR581" s="195" t="s">
        <v>519</v>
      </c>
      <c r="AS581" s="195" t="s">
        <v>529</v>
      </c>
      <c r="AT581" s="195" t="s">
        <v>528</v>
      </c>
      <c r="AU581" s="195" t="s">
        <v>530</v>
      </c>
      <c r="AV581" s="195" t="s">
        <v>527</v>
      </c>
      <c r="AW581" s="195" t="s">
        <v>525</v>
      </c>
      <c r="AX581" s="195" t="s">
        <v>521</v>
      </c>
      <c r="AZ581"/>
      <c r="BA581"/>
      <c r="BB581"/>
      <c r="BC581"/>
      <c r="BD581"/>
      <c r="BE581"/>
      <c r="BF581" s="152"/>
      <c r="BG581" s="152"/>
    </row>
    <row r="582" spans="1:59" s="90" customFormat="1" ht="14.25" customHeight="1" x14ac:dyDescent="0.2">
      <c r="A582" s="127"/>
      <c r="B582"/>
      <c r="C582" s="134"/>
      <c r="D582"/>
      <c r="E582"/>
      <c r="F582"/>
      <c r="G582"/>
      <c r="H582"/>
      <c r="I582"/>
      <c r="J582"/>
      <c r="K582"/>
      <c r="L582"/>
      <c r="M582"/>
      <c r="N582"/>
      <c r="O582"/>
      <c r="P582"/>
      <c r="Q582"/>
      <c r="R582"/>
      <c r="S582"/>
      <c r="T582"/>
      <c r="U582"/>
      <c r="V582"/>
      <c r="W582"/>
      <c r="X582" s="66"/>
      <c r="Y582" s="4"/>
      <c r="Z582" s="4"/>
      <c r="AA582" s="4"/>
      <c r="AB582" s="4"/>
      <c r="AC582" s="4"/>
      <c r="AD582" s="4"/>
      <c r="AE582" s="4"/>
      <c r="AF582" s="4"/>
      <c r="AG582"/>
      <c r="AH582"/>
      <c r="AI582"/>
      <c r="AJ582"/>
      <c r="AK582"/>
      <c r="AL582"/>
      <c r="AM582"/>
      <c r="AN582"/>
      <c r="AO582" s="148">
        <f t="shared" si="166"/>
        <v>8.9298000000000002</v>
      </c>
      <c r="AP582" s="195">
        <v>469</v>
      </c>
      <c r="AQ582" s="195" t="s">
        <v>523</v>
      </c>
      <c r="AR582" s="195" t="s">
        <v>519</v>
      </c>
      <c r="AS582" s="195" t="s">
        <v>529</v>
      </c>
      <c r="AT582" s="195" t="s">
        <v>528</v>
      </c>
      <c r="AU582" s="195" t="s">
        <v>530</v>
      </c>
      <c r="AV582" s="195" t="s">
        <v>527</v>
      </c>
      <c r="AW582" s="195" t="s">
        <v>521</v>
      </c>
      <c r="AX582" s="195" t="s">
        <v>526</v>
      </c>
      <c r="AZ582"/>
      <c r="BA582"/>
      <c r="BB582"/>
      <c r="BC582"/>
      <c r="BD582"/>
      <c r="BE582"/>
      <c r="BF582" s="152"/>
      <c r="BG582" s="152"/>
    </row>
    <row r="583" spans="1:59" s="90" customFormat="1" ht="14.25" customHeight="1" x14ac:dyDescent="0.2">
      <c r="A583" s="127"/>
      <c r="B583"/>
      <c r="C583" s="134"/>
      <c r="D583"/>
      <c r="E583"/>
      <c r="F583"/>
      <c r="G583"/>
      <c r="H583"/>
      <c r="I583"/>
      <c r="J583"/>
      <c r="K583"/>
      <c r="L583"/>
      <c r="M583"/>
      <c r="N583"/>
      <c r="O583"/>
      <c r="P583"/>
      <c r="Q583"/>
      <c r="R583"/>
      <c r="S583"/>
      <c r="T583"/>
      <c r="U583"/>
      <c r="V583"/>
      <c r="W583"/>
      <c r="X583" s="66"/>
      <c r="Y583" s="4"/>
      <c r="Z583" s="4"/>
      <c r="AA583" s="4"/>
      <c r="AB583" s="4"/>
      <c r="AC583" s="4"/>
      <c r="AD583" s="4"/>
      <c r="AE583" s="4"/>
      <c r="AF583" s="4"/>
      <c r="AG583"/>
      <c r="AH583"/>
      <c r="AI583"/>
      <c r="AJ583"/>
      <c r="AK583"/>
      <c r="AL583"/>
      <c r="AM583"/>
      <c r="AN583"/>
      <c r="AO583" s="148">
        <f t="shared" si="166"/>
        <v>8.9280000000000008</v>
      </c>
      <c r="AP583" s="195">
        <v>470</v>
      </c>
      <c r="AQ583" s="195" t="s">
        <v>523</v>
      </c>
      <c r="AR583" s="195" t="s">
        <v>520</v>
      </c>
      <c r="AS583" s="195" t="s">
        <v>529</v>
      </c>
      <c r="AT583" s="195" t="s">
        <v>528</v>
      </c>
      <c r="AU583" s="195" t="s">
        <v>530</v>
      </c>
      <c r="AV583" s="195" t="s">
        <v>527</v>
      </c>
      <c r="AW583" s="195" t="s">
        <v>519</v>
      </c>
      <c r="AX583" s="195" t="s">
        <v>521</v>
      </c>
      <c r="AZ583"/>
      <c r="BA583"/>
      <c r="BB583"/>
      <c r="BC583"/>
      <c r="BD583"/>
      <c r="BE583"/>
      <c r="BF583" s="152"/>
      <c r="BG583" s="152"/>
    </row>
    <row r="584" spans="1:59" s="90" customFormat="1" ht="14.25" customHeight="1" x14ac:dyDescent="0.2">
      <c r="A584" s="127"/>
      <c r="B584"/>
      <c r="C584" s="134"/>
      <c r="D584"/>
      <c r="E584"/>
      <c r="F584"/>
      <c r="G584"/>
      <c r="H584"/>
      <c r="I584"/>
      <c r="J584"/>
      <c r="K584"/>
      <c r="L584"/>
      <c r="M584"/>
      <c r="N584"/>
      <c r="O584"/>
      <c r="P584"/>
      <c r="Q584"/>
      <c r="R584"/>
      <c r="S584"/>
      <c r="T584"/>
      <c r="U584"/>
      <c r="V584"/>
      <c r="W584"/>
      <c r="X584" s="66"/>
      <c r="Y584" s="4"/>
      <c r="Z584" s="4"/>
      <c r="AA584" s="4"/>
      <c r="AB584" s="4"/>
      <c r="AC584" s="4"/>
      <c r="AD584" s="4"/>
      <c r="AE584" s="4"/>
      <c r="AF584" s="4"/>
      <c r="AG584"/>
      <c r="AH584"/>
      <c r="AI584"/>
      <c r="AJ584"/>
      <c r="AK584"/>
      <c r="AL584"/>
      <c r="AM584"/>
      <c r="AN584"/>
      <c r="AO584" s="148">
        <f t="shared" si="166"/>
        <v>8.9268000000000001</v>
      </c>
      <c r="AP584" s="195">
        <v>471</v>
      </c>
      <c r="AQ584" s="195" t="s">
        <v>519</v>
      </c>
      <c r="AR584" s="195" t="s">
        <v>524</v>
      </c>
      <c r="AS584" s="195" t="s">
        <v>529</v>
      </c>
      <c r="AT584" s="195" t="s">
        <v>528</v>
      </c>
      <c r="AU584" s="195" t="s">
        <v>530</v>
      </c>
      <c r="AV584" s="195" t="s">
        <v>527</v>
      </c>
      <c r="AW584" s="195" t="s">
        <v>525</v>
      </c>
      <c r="AX584" s="195" t="s">
        <v>526</v>
      </c>
      <c r="AZ584"/>
      <c r="BA584"/>
      <c r="BB584"/>
      <c r="BC584"/>
      <c r="BD584"/>
      <c r="BE584"/>
      <c r="BF584" s="152"/>
      <c r="BG584" s="152"/>
    </row>
    <row r="585" spans="1:59" s="90" customFormat="1" ht="14.25" customHeight="1" x14ac:dyDescent="0.2">
      <c r="A585" s="127"/>
      <c r="B585"/>
      <c r="C585" s="134"/>
      <c r="D585"/>
      <c r="E585"/>
      <c r="F585"/>
      <c r="G585"/>
      <c r="H585"/>
      <c r="I585"/>
      <c r="J585"/>
      <c r="K585"/>
      <c r="L585"/>
      <c r="M585"/>
      <c r="N585"/>
      <c r="O585"/>
      <c r="P585"/>
      <c r="Q585"/>
      <c r="R585"/>
      <c r="S585"/>
      <c r="T585"/>
      <c r="U585"/>
      <c r="V585"/>
      <c r="W585"/>
      <c r="X585" s="66"/>
      <c r="Y585" s="4"/>
      <c r="Z585" s="4"/>
      <c r="AA585" s="4"/>
      <c r="AB585" s="4"/>
      <c r="AC585" s="4"/>
      <c r="AD585" s="4"/>
      <c r="AE585" s="4"/>
      <c r="AF585" s="4"/>
      <c r="AG585"/>
      <c r="AH585"/>
      <c r="AI585"/>
      <c r="AJ585"/>
      <c r="AK585"/>
      <c r="AL585"/>
      <c r="AM585"/>
      <c r="AN585"/>
      <c r="AO585" s="148">
        <f t="shared" si="166"/>
        <v>8.9250000000000007</v>
      </c>
      <c r="AP585" s="195">
        <v>472</v>
      </c>
      <c r="AQ585" s="195" t="s">
        <v>519</v>
      </c>
      <c r="AR585" s="195" t="s">
        <v>524</v>
      </c>
      <c r="AS585" s="195" t="s">
        <v>529</v>
      </c>
      <c r="AT585" s="195" t="s">
        <v>528</v>
      </c>
      <c r="AU585" s="195" t="s">
        <v>530</v>
      </c>
      <c r="AV585" s="195" t="s">
        <v>527</v>
      </c>
      <c r="AW585" s="195" t="s">
        <v>525</v>
      </c>
      <c r="AX585" s="195" t="s">
        <v>520</v>
      </c>
      <c r="AZ585"/>
      <c r="BA585"/>
      <c r="BB585"/>
      <c r="BC585"/>
      <c r="BD585"/>
      <c r="BE585"/>
      <c r="BF585" s="152"/>
      <c r="BG585" s="152"/>
    </row>
    <row r="586" spans="1:59" s="90" customFormat="1" ht="14.25" customHeight="1" x14ac:dyDescent="0.2">
      <c r="A586" s="127"/>
      <c r="B586"/>
      <c r="C586" s="134"/>
      <c r="D586"/>
      <c r="E586"/>
      <c r="F586"/>
      <c r="G586"/>
      <c r="H586"/>
      <c r="I586"/>
      <c r="J586"/>
      <c r="K586"/>
      <c r="L586"/>
      <c r="M586"/>
      <c r="N586"/>
      <c r="O586"/>
      <c r="P586"/>
      <c r="Q586"/>
      <c r="R586"/>
      <c r="S586"/>
      <c r="T586"/>
      <c r="U586"/>
      <c r="V586"/>
      <c r="W586"/>
      <c r="X586" s="66"/>
      <c r="Y586" s="4"/>
      <c r="Z586" s="4"/>
      <c r="AA586" s="4"/>
      <c r="AB586" s="4"/>
      <c r="AC586" s="4"/>
      <c r="AD586" s="4"/>
      <c r="AE586" s="4"/>
      <c r="AF586" s="4"/>
      <c r="AG586"/>
      <c r="AH586"/>
      <c r="AI586"/>
      <c r="AJ586"/>
      <c r="AK586"/>
      <c r="AL586"/>
      <c r="AM586"/>
      <c r="AN586"/>
      <c r="AO586" s="148">
        <f t="shared" si="166"/>
        <v>8.9263000000000012</v>
      </c>
      <c r="AP586" s="195">
        <v>473</v>
      </c>
      <c r="AQ586" s="195" t="s">
        <v>519</v>
      </c>
      <c r="AR586" s="195" t="s">
        <v>524</v>
      </c>
      <c r="AS586" s="195" t="s">
        <v>529</v>
      </c>
      <c r="AT586" s="195" t="s">
        <v>528</v>
      </c>
      <c r="AU586" s="195" t="s">
        <v>530</v>
      </c>
      <c r="AV586" s="195" t="s">
        <v>527</v>
      </c>
      <c r="AW586" s="195" t="s">
        <v>520</v>
      </c>
      <c r="AX586" s="195" t="s">
        <v>526</v>
      </c>
      <c r="AZ586"/>
      <c r="BA586"/>
      <c r="BB586"/>
      <c r="BC586"/>
      <c r="BD586"/>
      <c r="BE586"/>
      <c r="BF586" s="152"/>
      <c r="BG586" s="152"/>
    </row>
    <row r="587" spans="1:59" s="90" customFormat="1" ht="14.25" customHeight="1" x14ac:dyDescent="0.2">
      <c r="A587" s="127"/>
      <c r="B587"/>
      <c r="C587" s="134"/>
      <c r="D587"/>
      <c r="E587"/>
      <c r="F587"/>
      <c r="G587"/>
      <c r="H587"/>
      <c r="I587"/>
      <c r="J587"/>
      <c r="K587"/>
      <c r="L587"/>
      <c r="M587"/>
      <c r="N587"/>
      <c r="O587"/>
      <c r="P587"/>
      <c r="Q587"/>
      <c r="R587"/>
      <c r="S587"/>
      <c r="T587"/>
      <c r="U587"/>
      <c r="V587"/>
      <c r="W587"/>
      <c r="X587" s="66"/>
      <c r="Y587" s="4"/>
      <c r="Z587" s="4"/>
      <c r="AA587" s="4"/>
      <c r="AB587" s="4"/>
      <c r="AC587" s="4"/>
      <c r="AD587" s="4"/>
      <c r="AE587" s="4"/>
      <c r="AF587" s="4"/>
      <c r="AG587"/>
      <c r="AH587"/>
      <c r="AI587"/>
      <c r="AJ587"/>
      <c r="AK587"/>
      <c r="AL587"/>
      <c r="AM587"/>
      <c r="AN587"/>
      <c r="AO587" s="148">
        <f t="shared" si="166"/>
        <v>8.9253000000000018</v>
      </c>
      <c r="AP587" s="195">
        <v>474</v>
      </c>
      <c r="AQ587" s="195" t="s">
        <v>519</v>
      </c>
      <c r="AR587" s="195" t="s">
        <v>524</v>
      </c>
      <c r="AS587" s="195" t="s">
        <v>529</v>
      </c>
      <c r="AT587" s="195" t="s">
        <v>528</v>
      </c>
      <c r="AU587" s="195" t="s">
        <v>530</v>
      </c>
      <c r="AV587" s="195" t="s">
        <v>527</v>
      </c>
      <c r="AW587" s="195" t="s">
        <v>525</v>
      </c>
      <c r="AX587" s="195" t="s">
        <v>521</v>
      </c>
      <c r="AZ587"/>
      <c r="BA587"/>
      <c r="BB587"/>
      <c r="BC587"/>
      <c r="BD587"/>
      <c r="BE587"/>
      <c r="BF587" s="152"/>
      <c r="BG587" s="152"/>
    </row>
    <row r="588" spans="1:59" s="90" customFormat="1" ht="14.25" customHeight="1" x14ac:dyDescent="0.2">
      <c r="A588" s="127"/>
      <c r="B588"/>
      <c r="C588" s="134"/>
      <c r="D588"/>
      <c r="E588"/>
      <c r="F588"/>
      <c r="G588"/>
      <c r="H588"/>
      <c r="I588"/>
      <c r="J588"/>
      <c r="K588"/>
      <c r="L588"/>
      <c r="M588"/>
      <c r="N588"/>
      <c r="O588"/>
      <c r="P588"/>
      <c r="Q588"/>
      <c r="R588"/>
      <c r="S588"/>
      <c r="T588"/>
      <c r="U588"/>
      <c r="V588"/>
      <c r="W588"/>
      <c r="X588" s="66"/>
      <c r="Y588" s="4"/>
      <c r="Z588" s="4"/>
      <c r="AA588" s="4"/>
      <c r="AB588" s="4"/>
      <c r="AC588" s="4"/>
      <c r="AD588" s="4"/>
      <c r="AE588" s="4"/>
      <c r="AF588" s="4"/>
      <c r="AG588"/>
      <c r="AH588"/>
      <c r="AI588"/>
      <c r="AJ588"/>
      <c r="AK588"/>
      <c r="AL588"/>
      <c r="AM588"/>
      <c r="AN588"/>
      <c r="AO588" s="148">
        <f t="shared" si="166"/>
        <v>8.9266000000000005</v>
      </c>
      <c r="AP588" s="195">
        <v>475</v>
      </c>
      <c r="AQ588" s="195" t="s">
        <v>519</v>
      </c>
      <c r="AR588" s="195" t="s">
        <v>524</v>
      </c>
      <c r="AS588" s="195" t="s">
        <v>529</v>
      </c>
      <c r="AT588" s="195" t="s">
        <v>528</v>
      </c>
      <c r="AU588" s="195" t="s">
        <v>530</v>
      </c>
      <c r="AV588" s="195" t="s">
        <v>527</v>
      </c>
      <c r="AW588" s="195" t="s">
        <v>521</v>
      </c>
      <c r="AX588" s="195" t="s">
        <v>526</v>
      </c>
      <c r="AZ588"/>
      <c r="BA588"/>
      <c r="BB588"/>
      <c r="BC588"/>
      <c r="BD588"/>
      <c r="BE588"/>
      <c r="BF588" s="152"/>
      <c r="BG588" s="152"/>
    </row>
    <row r="589" spans="1:59" s="90" customFormat="1" ht="14.25" customHeight="1" x14ac:dyDescent="0.2">
      <c r="A589" s="127"/>
      <c r="B589"/>
      <c r="C589" s="134"/>
      <c r="D589"/>
      <c r="E589"/>
      <c r="F589"/>
      <c r="G589"/>
      <c r="H589"/>
      <c r="I589"/>
      <c r="J589"/>
      <c r="K589"/>
      <c r="L589"/>
      <c r="M589"/>
      <c r="N589"/>
      <c r="O589"/>
      <c r="P589"/>
      <c r="Q589"/>
      <c r="R589"/>
      <c r="S589"/>
      <c r="T589"/>
      <c r="U589"/>
      <c r="V589"/>
      <c r="W589"/>
      <c r="X589" s="66"/>
      <c r="Y589" s="4"/>
      <c r="Z589" s="4"/>
      <c r="AA589" s="4"/>
      <c r="AB589" s="4"/>
      <c r="AC589" s="4"/>
      <c r="AD589" s="4"/>
      <c r="AE589" s="4"/>
      <c r="AF589" s="4"/>
      <c r="AG589"/>
      <c r="AH589"/>
      <c r="AI589"/>
      <c r="AJ589"/>
      <c r="AK589"/>
      <c r="AL589"/>
      <c r="AM589"/>
      <c r="AN589"/>
      <c r="AO589" s="148">
        <f t="shared" si="166"/>
        <v>8.9248000000000012</v>
      </c>
      <c r="AP589" s="195">
        <v>476</v>
      </c>
      <c r="AQ589" s="195" t="s">
        <v>519</v>
      </c>
      <c r="AR589" s="195" t="s">
        <v>524</v>
      </c>
      <c r="AS589" s="195" t="s">
        <v>529</v>
      </c>
      <c r="AT589" s="195" t="s">
        <v>528</v>
      </c>
      <c r="AU589" s="195" t="s">
        <v>530</v>
      </c>
      <c r="AV589" s="195" t="s">
        <v>527</v>
      </c>
      <c r="AW589" s="195" t="s">
        <v>521</v>
      </c>
      <c r="AX589" s="195" t="s">
        <v>520</v>
      </c>
      <c r="AZ589"/>
      <c r="BA589"/>
      <c r="BB589"/>
      <c r="BC589"/>
      <c r="BD589"/>
      <c r="BE589"/>
      <c r="BF589" s="152"/>
      <c r="BG589" s="152"/>
    </row>
    <row r="590" spans="1:59" s="90" customFormat="1" ht="14.25" customHeight="1" x14ac:dyDescent="0.2">
      <c r="A590" s="127"/>
      <c r="B590"/>
      <c r="C590" s="134"/>
      <c r="D590"/>
      <c r="E590"/>
      <c r="F590"/>
      <c r="G590"/>
      <c r="H590"/>
      <c r="I590"/>
      <c r="J590"/>
      <c r="K590"/>
      <c r="L590"/>
      <c r="M590"/>
      <c r="N590"/>
      <c r="O590"/>
      <c r="P590"/>
      <c r="Q590"/>
      <c r="R590"/>
      <c r="S590"/>
      <c r="T590"/>
      <c r="U590"/>
      <c r="V590"/>
      <c r="W590"/>
      <c r="X590" s="66"/>
      <c r="Y590" s="4"/>
      <c r="Z590" s="4"/>
      <c r="AA590" s="4"/>
      <c r="AB590" s="4"/>
      <c r="AC590" s="4"/>
      <c r="AD590" s="4"/>
      <c r="AE590" s="4"/>
      <c r="AF590" s="4"/>
      <c r="AG590"/>
      <c r="AH590"/>
      <c r="AI590"/>
      <c r="AJ590"/>
      <c r="AK590"/>
      <c r="AL590"/>
      <c r="AM590"/>
      <c r="AN590"/>
      <c r="AO590" s="148">
        <f t="shared" si="166"/>
        <v>8.9283000000000001</v>
      </c>
      <c r="AP590" s="195">
        <v>477</v>
      </c>
      <c r="AQ590" s="195" t="s">
        <v>523</v>
      </c>
      <c r="AR590" s="195" t="s">
        <v>524</v>
      </c>
      <c r="AS590" s="195" t="s">
        <v>529</v>
      </c>
      <c r="AT590" s="195" t="s">
        <v>528</v>
      </c>
      <c r="AU590" s="195" t="s">
        <v>530</v>
      </c>
      <c r="AV590" s="195" t="s">
        <v>527</v>
      </c>
      <c r="AW590" s="195" t="s">
        <v>525</v>
      </c>
      <c r="AX590" s="195" t="s">
        <v>519</v>
      </c>
      <c r="AZ590"/>
      <c r="BA590"/>
      <c r="BB590"/>
      <c r="BC590"/>
      <c r="BD590"/>
      <c r="BE590"/>
      <c r="BF590" s="152"/>
      <c r="BG590" s="152"/>
    </row>
    <row r="591" spans="1:59" s="90" customFormat="1" ht="14.25" customHeight="1" x14ac:dyDescent="0.2">
      <c r="A591" s="127"/>
      <c r="B591"/>
      <c r="C591" s="134"/>
      <c r="D591"/>
      <c r="E591"/>
      <c r="F591"/>
      <c r="G591"/>
      <c r="H591"/>
      <c r="I591"/>
      <c r="J591"/>
      <c r="K591"/>
      <c r="L591"/>
      <c r="M591"/>
      <c r="N591"/>
      <c r="O591"/>
      <c r="P591"/>
      <c r="Q591"/>
      <c r="R591"/>
      <c r="S591"/>
      <c r="T591"/>
      <c r="U591"/>
      <c r="V591"/>
      <c r="W591"/>
      <c r="X591" s="66"/>
      <c r="Y591" s="4"/>
      <c r="Z591" s="4"/>
      <c r="AA591" s="4"/>
      <c r="AB591" s="4"/>
      <c r="AC591" s="4"/>
      <c r="AD591" s="4"/>
      <c r="AE591" s="4"/>
      <c r="AF591" s="4"/>
      <c r="AG591"/>
      <c r="AH591"/>
      <c r="AI591"/>
      <c r="AJ591"/>
      <c r="AK591"/>
      <c r="AL591"/>
      <c r="AM591"/>
      <c r="AN591"/>
      <c r="AO591" s="148">
        <f t="shared" si="166"/>
        <v>8.9296000000000006</v>
      </c>
      <c r="AP591" s="195">
        <v>478</v>
      </c>
      <c r="AQ591" s="195" t="s">
        <v>523</v>
      </c>
      <c r="AR591" s="195" t="s">
        <v>524</v>
      </c>
      <c r="AS591" s="195" t="s">
        <v>529</v>
      </c>
      <c r="AT591" s="195" t="s">
        <v>528</v>
      </c>
      <c r="AU591" s="195" t="s">
        <v>530</v>
      </c>
      <c r="AV591" s="195" t="s">
        <v>527</v>
      </c>
      <c r="AW591" s="195" t="s">
        <v>519</v>
      </c>
      <c r="AX591" s="195" t="s">
        <v>526</v>
      </c>
      <c r="AZ591"/>
      <c r="BA591"/>
      <c r="BB591"/>
      <c r="BC591"/>
      <c r="BD591"/>
      <c r="BE591"/>
      <c r="BF591" s="152"/>
      <c r="BG591" s="152"/>
    </row>
    <row r="592" spans="1:59" s="90" customFormat="1" ht="14.25" customHeight="1" x14ac:dyDescent="0.2">
      <c r="A592" s="127"/>
      <c r="B592"/>
      <c r="C592" s="134"/>
      <c r="D592"/>
      <c r="E592"/>
      <c r="F592"/>
      <c r="G592"/>
      <c r="H592"/>
      <c r="I592"/>
      <c r="J592"/>
      <c r="K592"/>
      <c r="L592"/>
      <c r="M592"/>
      <c r="N592"/>
      <c r="O592"/>
      <c r="P592"/>
      <c r="Q592"/>
      <c r="R592"/>
      <c r="S592"/>
      <c r="T592"/>
      <c r="U592"/>
      <c r="V592"/>
      <c r="W592"/>
      <c r="X592" s="66"/>
      <c r="Y592" s="4"/>
      <c r="Z592" s="4"/>
      <c r="AA592" s="4"/>
      <c r="AB592" s="4"/>
      <c r="AC592" s="4"/>
      <c r="AD592" s="4"/>
      <c r="AE592" s="4"/>
      <c r="AF592" s="4"/>
      <c r="AG592"/>
      <c r="AH592"/>
      <c r="AI592"/>
      <c r="AJ592"/>
      <c r="AK592"/>
      <c r="AL592"/>
      <c r="AM592"/>
      <c r="AN592"/>
      <c r="AO592" s="148">
        <f t="shared" si="166"/>
        <v>8.9278000000000013</v>
      </c>
      <c r="AP592" s="195">
        <v>479</v>
      </c>
      <c r="AQ592" s="195" t="s">
        <v>523</v>
      </c>
      <c r="AR592" s="195" t="s">
        <v>524</v>
      </c>
      <c r="AS592" s="195" t="s">
        <v>529</v>
      </c>
      <c r="AT592" s="195" t="s">
        <v>528</v>
      </c>
      <c r="AU592" s="195" t="s">
        <v>530</v>
      </c>
      <c r="AV592" s="195" t="s">
        <v>527</v>
      </c>
      <c r="AW592" s="195" t="s">
        <v>519</v>
      </c>
      <c r="AX592" s="195" t="s">
        <v>520</v>
      </c>
      <c r="AZ592"/>
      <c r="BA592"/>
      <c r="BB592"/>
      <c r="BC592"/>
      <c r="BD592"/>
      <c r="BE592"/>
      <c r="BF592" s="152"/>
      <c r="BG592" s="152"/>
    </row>
    <row r="593" spans="1:59" s="90" customFormat="1" ht="14.25" customHeight="1" x14ac:dyDescent="0.2">
      <c r="A593" s="127"/>
      <c r="B593"/>
      <c r="C593" s="134"/>
      <c r="D593"/>
      <c r="E593"/>
      <c r="F593"/>
      <c r="G593"/>
      <c r="H593"/>
      <c r="I593"/>
      <c r="J593"/>
      <c r="K593"/>
      <c r="L593"/>
      <c r="M593"/>
      <c r="N593"/>
      <c r="O593"/>
      <c r="P593"/>
      <c r="Q593"/>
      <c r="R593"/>
      <c r="S593"/>
      <c r="T593"/>
      <c r="U593"/>
      <c r="V593"/>
      <c r="W593"/>
      <c r="X593" s="66"/>
      <c r="Y593" s="4"/>
      <c r="Z593" s="4"/>
      <c r="AA593" s="4"/>
      <c r="AB593" s="4"/>
      <c r="AC593" s="4"/>
      <c r="AD593" s="4"/>
      <c r="AE593" s="4"/>
      <c r="AF593" s="4"/>
      <c r="AG593"/>
      <c r="AH593"/>
      <c r="AI593"/>
      <c r="AJ593"/>
      <c r="AK593"/>
      <c r="AL593"/>
      <c r="AM593"/>
      <c r="AN593"/>
      <c r="AO593" s="148">
        <f t="shared" si="166"/>
        <v>8.9281000000000006</v>
      </c>
      <c r="AP593" s="195">
        <v>480</v>
      </c>
      <c r="AQ593" s="195" t="s">
        <v>523</v>
      </c>
      <c r="AR593" s="195" t="s">
        <v>524</v>
      </c>
      <c r="AS593" s="195" t="s">
        <v>529</v>
      </c>
      <c r="AT593" s="195" t="s">
        <v>528</v>
      </c>
      <c r="AU593" s="195" t="s">
        <v>530</v>
      </c>
      <c r="AV593" s="195" t="s">
        <v>527</v>
      </c>
      <c r="AW593" s="195" t="s">
        <v>519</v>
      </c>
      <c r="AX593" s="195" t="s">
        <v>521</v>
      </c>
      <c r="AZ593"/>
      <c r="BA593"/>
      <c r="BB593"/>
      <c r="BC593"/>
      <c r="BD593"/>
      <c r="BE593"/>
      <c r="BF593" s="152"/>
      <c r="BG593" s="152"/>
    </row>
    <row r="594" spans="1:59" s="90" customFormat="1" ht="14.25" customHeight="1" x14ac:dyDescent="0.2">
      <c r="A594" s="127"/>
      <c r="B594"/>
      <c r="C594" s="134"/>
      <c r="D594"/>
      <c r="E594"/>
      <c r="F594"/>
      <c r="G594"/>
      <c r="H594"/>
      <c r="I594"/>
      <c r="J594"/>
      <c r="K594"/>
      <c r="L594"/>
      <c r="M594"/>
      <c r="N594"/>
      <c r="O594"/>
      <c r="P594"/>
      <c r="Q594"/>
      <c r="R594"/>
      <c r="S594"/>
      <c r="T594"/>
      <c r="U594"/>
      <c r="V594"/>
      <c r="W594"/>
      <c r="X594" s="66"/>
      <c r="Y594" s="4"/>
      <c r="Z594" s="4"/>
      <c r="AA594" s="4"/>
      <c r="AB594" s="4"/>
      <c r="AC594" s="4"/>
      <c r="AD594" s="4"/>
      <c r="AE594" s="4"/>
      <c r="AF594" s="4"/>
      <c r="AG594"/>
      <c r="AH594"/>
      <c r="AI594"/>
      <c r="AJ594"/>
      <c r="AK594"/>
      <c r="AL594"/>
      <c r="AM594"/>
      <c r="AN594"/>
      <c r="AO594" s="148">
        <f t="shared" si="166"/>
        <v>8.9277000000000015</v>
      </c>
      <c r="AP594" s="195">
        <v>481</v>
      </c>
      <c r="AQ594" s="195" t="s">
        <v>528</v>
      </c>
      <c r="AR594" s="195" t="s">
        <v>519</v>
      </c>
      <c r="AS594" s="195" t="s">
        <v>529</v>
      </c>
      <c r="AT594" s="195" t="s">
        <v>527</v>
      </c>
      <c r="AU594" s="195" t="s">
        <v>530</v>
      </c>
      <c r="AV594" s="195" t="s">
        <v>522</v>
      </c>
      <c r="AW594" s="195" t="s">
        <v>525</v>
      </c>
      <c r="AX594" s="195" t="s">
        <v>526</v>
      </c>
      <c r="AZ594"/>
      <c r="BA594"/>
      <c r="BB594"/>
      <c r="BC594"/>
      <c r="BD594"/>
      <c r="BE594"/>
      <c r="BF594" s="152"/>
      <c r="BG594" s="152"/>
    </row>
    <row r="595" spans="1:59" s="90" customFormat="1" ht="14.25" customHeight="1" x14ac:dyDescent="0.2">
      <c r="A595" s="127"/>
      <c r="B595"/>
      <c r="C595" s="134"/>
      <c r="D595"/>
      <c r="E595"/>
      <c r="F595"/>
      <c r="G595"/>
      <c r="H595"/>
      <c r="I595"/>
      <c r="J595"/>
      <c r="K595"/>
      <c r="L595"/>
      <c r="M595"/>
      <c r="N595"/>
      <c r="O595"/>
      <c r="P595"/>
      <c r="Q595"/>
      <c r="R595"/>
      <c r="S595"/>
      <c r="T595"/>
      <c r="U595"/>
      <c r="V595"/>
      <c r="W595"/>
      <c r="X595" s="66"/>
      <c r="Y595" s="4"/>
      <c r="Z595" s="4"/>
      <c r="AA595" s="4"/>
      <c r="AB595" s="4"/>
      <c r="AC595" s="4"/>
      <c r="AD595" s="4"/>
      <c r="AE595" s="4"/>
      <c r="AF595" s="4"/>
      <c r="AG595"/>
      <c r="AH595"/>
      <c r="AI595"/>
      <c r="AJ595"/>
      <c r="AK595"/>
      <c r="AL595"/>
      <c r="AM595"/>
      <c r="AN595"/>
      <c r="AO595" s="148">
        <f t="shared" si="166"/>
        <v>8.9259000000000022</v>
      </c>
      <c r="AP595" s="195">
        <v>482</v>
      </c>
      <c r="AQ595" s="195" t="s">
        <v>528</v>
      </c>
      <c r="AR595" s="195" t="s">
        <v>520</v>
      </c>
      <c r="AS595" s="195" t="s">
        <v>529</v>
      </c>
      <c r="AT595" s="195" t="s">
        <v>527</v>
      </c>
      <c r="AU595" s="195" t="s">
        <v>530</v>
      </c>
      <c r="AV595" s="195" t="s">
        <v>522</v>
      </c>
      <c r="AW595" s="195" t="s">
        <v>525</v>
      </c>
      <c r="AX595" s="195" t="s">
        <v>519</v>
      </c>
      <c r="AZ595"/>
      <c r="BA595"/>
      <c r="BB595"/>
      <c r="BC595"/>
      <c r="BD595"/>
      <c r="BE595"/>
      <c r="BF595" s="152"/>
      <c r="BG595" s="152"/>
    </row>
    <row r="596" spans="1:59" s="90" customFormat="1" ht="14.25" customHeight="1" x14ac:dyDescent="0.2">
      <c r="A596" s="127"/>
      <c r="B596"/>
      <c r="C596" s="134"/>
      <c r="D596"/>
      <c r="E596"/>
      <c r="F596"/>
      <c r="G596"/>
      <c r="H596"/>
      <c r="I596"/>
      <c r="J596"/>
      <c r="K596"/>
      <c r="L596"/>
      <c r="M596"/>
      <c r="N596"/>
      <c r="O596"/>
      <c r="P596"/>
      <c r="Q596"/>
      <c r="R596"/>
      <c r="S596"/>
      <c r="T596"/>
      <c r="U596"/>
      <c r="V596"/>
      <c r="W596"/>
      <c r="X596" s="66"/>
      <c r="Y596" s="4"/>
      <c r="Z596" s="4"/>
      <c r="AA596" s="4"/>
      <c r="AB596" s="4"/>
      <c r="AC596" s="4"/>
      <c r="AD596" s="4"/>
      <c r="AE596" s="4"/>
      <c r="AF596" s="4"/>
      <c r="AG596"/>
      <c r="AH596"/>
      <c r="AI596"/>
      <c r="AJ596"/>
      <c r="AK596"/>
      <c r="AL596"/>
      <c r="AM596"/>
      <c r="AN596"/>
      <c r="AO596" s="148">
        <f t="shared" si="166"/>
        <v>8.9272000000000009</v>
      </c>
      <c r="AP596" s="195">
        <v>483</v>
      </c>
      <c r="AQ596" s="195" t="s">
        <v>528</v>
      </c>
      <c r="AR596" s="195" t="s">
        <v>520</v>
      </c>
      <c r="AS596" s="195" t="s">
        <v>529</v>
      </c>
      <c r="AT596" s="195" t="s">
        <v>527</v>
      </c>
      <c r="AU596" s="195" t="s">
        <v>530</v>
      </c>
      <c r="AV596" s="195" t="s">
        <v>522</v>
      </c>
      <c r="AW596" s="195" t="s">
        <v>519</v>
      </c>
      <c r="AX596" s="195" t="s">
        <v>526</v>
      </c>
      <c r="AZ596"/>
      <c r="BA596"/>
      <c r="BB596"/>
      <c r="BC596"/>
      <c r="BD596"/>
      <c r="BE596"/>
      <c r="BF596" s="152"/>
      <c r="BG596" s="152"/>
    </row>
    <row r="597" spans="1:59" s="90" customFormat="1" ht="14.25" customHeight="1" x14ac:dyDescent="0.2">
      <c r="A597" s="127"/>
      <c r="B597"/>
      <c r="C597" s="134"/>
      <c r="D597"/>
      <c r="E597"/>
      <c r="F597"/>
      <c r="G597"/>
      <c r="H597"/>
      <c r="I597"/>
      <c r="J597"/>
      <c r="K597"/>
      <c r="L597"/>
      <c r="M597"/>
      <c r="N597"/>
      <c r="O597"/>
      <c r="P597"/>
      <c r="Q597"/>
      <c r="R597"/>
      <c r="S597"/>
      <c r="T597"/>
      <c r="U597"/>
      <c r="V597"/>
      <c r="W597"/>
      <c r="X597" s="66"/>
      <c r="Y597" s="4"/>
      <c r="Z597" s="4"/>
      <c r="AA597" s="4"/>
      <c r="AB597" s="4"/>
      <c r="AC597" s="4"/>
      <c r="AD597" s="4"/>
      <c r="AE597" s="4"/>
      <c r="AF597" s="4"/>
      <c r="AG597"/>
      <c r="AH597"/>
      <c r="AI597"/>
      <c r="AJ597"/>
      <c r="AK597"/>
      <c r="AL597"/>
      <c r="AM597"/>
      <c r="AN597"/>
      <c r="AO597" s="148">
        <f t="shared" si="166"/>
        <v>8.9262000000000015</v>
      </c>
      <c r="AP597" s="195">
        <v>484</v>
      </c>
      <c r="AQ597" s="195" t="s">
        <v>528</v>
      </c>
      <c r="AR597" s="195" t="s">
        <v>519</v>
      </c>
      <c r="AS597" s="195" t="s">
        <v>529</v>
      </c>
      <c r="AT597" s="195" t="s">
        <v>527</v>
      </c>
      <c r="AU597" s="195" t="s">
        <v>530</v>
      </c>
      <c r="AV597" s="195" t="s">
        <v>522</v>
      </c>
      <c r="AW597" s="195" t="s">
        <v>525</v>
      </c>
      <c r="AX597" s="195" t="s">
        <v>521</v>
      </c>
      <c r="AZ597"/>
      <c r="BA597"/>
      <c r="BB597"/>
      <c r="BC597"/>
      <c r="BD597"/>
      <c r="BE597"/>
      <c r="BF597" s="152"/>
      <c r="BG597" s="152"/>
    </row>
    <row r="598" spans="1:59" s="90" customFormat="1" ht="14.25" customHeight="1" x14ac:dyDescent="0.2">
      <c r="A598" s="127"/>
      <c r="B598"/>
      <c r="C598" s="134"/>
      <c r="D598"/>
      <c r="E598"/>
      <c r="F598"/>
      <c r="G598"/>
      <c r="H598"/>
      <c r="I598"/>
      <c r="J598"/>
      <c r="K598"/>
      <c r="L598"/>
      <c r="M598"/>
      <c r="N598"/>
      <c r="O598"/>
      <c r="P598"/>
      <c r="Q598"/>
      <c r="R598"/>
      <c r="S598"/>
      <c r="T598"/>
      <c r="U598"/>
      <c r="V598"/>
      <c r="W598"/>
      <c r="X598" s="66"/>
      <c r="Y598" s="4"/>
      <c r="Z598" s="4"/>
      <c r="AA598" s="4"/>
      <c r="AB598" s="4"/>
      <c r="AC598" s="4"/>
      <c r="AD598" s="4"/>
      <c r="AE598" s="4"/>
      <c r="AF598" s="4"/>
      <c r="AG598"/>
      <c r="AH598"/>
      <c r="AI598"/>
      <c r="AJ598"/>
      <c r="AK598"/>
      <c r="AL598"/>
      <c r="AM598"/>
      <c r="AN598"/>
      <c r="AO598" s="148">
        <f t="shared" si="166"/>
        <v>8.927500000000002</v>
      </c>
      <c r="AP598" s="195">
        <v>485</v>
      </c>
      <c r="AQ598" s="195" t="s">
        <v>528</v>
      </c>
      <c r="AR598" s="195" t="s">
        <v>519</v>
      </c>
      <c r="AS598" s="195" t="s">
        <v>529</v>
      </c>
      <c r="AT598" s="195" t="s">
        <v>527</v>
      </c>
      <c r="AU598" s="195" t="s">
        <v>530</v>
      </c>
      <c r="AV598" s="195" t="s">
        <v>522</v>
      </c>
      <c r="AW598" s="195" t="s">
        <v>521</v>
      </c>
      <c r="AX598" s="195" t="s">
        <v>526</v>
      </c>
      <c r="AZ598"/>
      <c r="BA598"/>
      <c r="BB598"/>
      <c r="BC598"/>
      <c r="BD598"/>
      <c r="BE598"/>
      <c r="BF598" s="152"/>
      <c r="BG598" s="152"/>
    </row>
    <row r="599" spans="1:59" s="90" customFormat="1" ht="14.25" customHeight="1" x14ac:dyDescent="0.2">
      <c r="A599" s="127"/>
      <c r="B599"/>
      <c r="C599" s="134"/>
      <c r="D599"/>
      <c r="E599"/>
      <c r="F599"/>
      <c r="G599"/>
      <c r="H599"/>
      <c r="I599"/>
      <c r="J599"/>
      <c r="K599"/>
      <c r="L599"/>
      <c r="M599"/>
      <c r="N599"/>
      <c r="O599"/>
      <c r="P599"/>
      <c r="Q599"/>
      <c r="R599"/>
      <c r="S599"/>
      <c r="T599"/>
      <c r="U599"/>
      <c r="V599"/>
      <c r="W599"/>
      <c r="X599" s="66"/>
      <c r="Y599" s="4"/>
      <c r="Z599" s="4"/>
      <c r="AA599" s="4"/>
      <c r="AB599" s="4"/>
      <c r="AC599" s="4"/>
      <c r="AD599" s="4"/>
      <c r="AE599" s="4"/>
      <c r="AF599" s="4"/>
      <c r="AG599"/>
      <c r="AH599"/>
      <c r="AI599"/>
      <c r="AJ599"/>
      <c r="AK599"/>
      <c r="AL599"/>
      <c r="AM599"/>
      <c r="AN599"/>
      <c r="AO599" s="148">
        <f t="shared" si="166"/>
        <v>8.9257000000000009</v>
      </c>
      <c r="AP599" s="195">
        <v>486</v>
      </c>
      <c r="AQ599" s="195" t="s">
        <v>528</v>
      </c>
      <c r="AR599" s="195" t="s">
        <v>520</v>
      </c>
      <c r="AS599" s="195" t="s">
        <v>529</v>
      </c>
      <c r="AT599" s="195" t="s">
        <v>527</v>
      </c>
      <c r="AU599" s="195" t="s">
        <v>530</v>
      </c>
      <c r="AV599" s="195" t="s">
        <v>522</v>
      </c>
      <c r="AW599" s="195" t="s">
        <v>519</v>
      </c>
      <c r="AX599" s="195" t="s">
        <v>521</v>
      </c>
      <c r="AZ599"/>
      <c r="BA599"/>
      <c r="BB599"/>
      <c r="BC599"/>
      <c r="BD599"/>
      <c r="BE599"/>
      <c r="BF599" s="152"/>
      <c r="BG599" s="152"/>
    </row>
    <row r="600" spans="1:59" s="90" customFormat="1" ht="14.25" customHeight="1" x14ac:dyDescent="0.2">
      <c r="A600" s="127"/>
      <c r="B600"/>
      <c r="C600" s="134"/>
      <c r="D600"/>
      <c r="E600"/>
      <c r="F600"/>
      <c r="G600"/>
      <c r="H600"/>
      <c r="I600"/>
      <c r="J600"/>
      <c r="K600"/>
      <c r="L600"/>
      <c r="M600"/>
      <c r="N600"/>
      <c r="O600"/>
      <c r="P600"/>
      <c r="Q600"/>
      <c r="R600"/>
      <c r="S600"/>
      <c r="T600"/>
      <c r="U600"/>
      <c r="V600"/>
      <c r="W600"/>
      <c r="X600" s="66"/>
      <c r="Y600" s="4"/>
      <c r="Z600" s="4"/>
      <c r="AA600" s="4"/>
      <c r="AB600" s="4"/>
      <c r="AC600" s="4"/>
      <c r="AD600" s="4"/>
      <c r="AE600" s="4"/>
      <c r="AF600" s="4"/>
      <c r="AG600"/>
      <c r="AH600"/>
      <c r="AI600"/>
      <c r="AJ600"/>
      <c r="AK600"/>
      <c r="AL600"/>
      <c r="AM600"/>
      <c r="AN600"/>
      <c r="AO600" s="148">
        <f t="shared" si="166"/>
        <v>8.9292000000000016</v>
      </c>
      <c r="AP600" s="195">
        <v>487</v>
      </c>
      <c r="AQ600" s="195" t="s">
        <v>523</v>
      </c>
      <c r="AR600" s="195" t="s">
        <v>522</v>
      </c>
      <c r="AS600" s="195" t="s">
        <v>529</v>
      </c>
      <c r="AT600" s="195" t="s">
        <v>528</v>
      </c>
      <c r="AU600" s="195" t="s">
        <v>530</v>
      </c>
      <c r="AV600" s="195" t="s">
        <v>527</v>
      </c>
      <c r="AW600" s="195" t="s">
        <v>525</v>
      </c>
      <c r="AX600" s="195" t="s">
        <v>519</v>
      </c>
      <c r="AZ600"/>
      <c r="BA600"/>
      <c r="BB600"/>
      <c r="BC600"/>
      <c r="BD600"/>
      <c r="BE600"/>
      <c r="BF600" s="152"/>
      <c r="BG600" s="152"/>
    </row>
    <row r="601" spans="1:59" s="90" customFormat="1" ht="14.25" customHeight="1" x14ac:dyDescent="0.2">
      <c r="A601" s="127"/>
      <c r="B601"/>
      <c r="C601" s="134"/>
      <c r="D601"/>
      <c r="E601"/>
      <c r="F601"/>
      <c r="G601"/>
      <c r="H601"/>
      <c r="I601"/>
      <c r="J601"/>
      <c r="K601"/>
      <c r="L601"/>
      <c r="M601"/>
      <c r="N601"/>
      <c r="O601"/>
      <c r="P601"/>
      <c r="Q601"/>
      <c r="R601"/>
      <c r="S601"/>
      <c r="T601"/>
      <c r="U601"/>
      <c r="V601"/>
      <c r="W601"/>
      <c r="X601" s="66"/>
      <c r="Y601" s="4"/>
      <c r="Z601" s="4"/>
      <c r="AA601" s="4"/>
      <c r="AB601" s="4"/>
      <c r="AC601" s="4"/>
      <c r="AD601" s="4"/>
      <c r="AE601" s="4"/>
      <c r="AF601" s="4"/>
      <c r="AG601"/>
      <c r="AH601"/>
      <c r="AI601"/>
      <c r="AJ601"/>
      <c r="AK601"/>
      <c r="AL601"/>
      <c r="AM601"/>
      <c r="AN601"/>
      <c r="AO601" s="148">
        <f t="shared" si="166"/>
        <v>8.9305000000000021</v>
      </c>
      <c r="AP601" s="195">
        <v>488</v>
      </c>
      <c r="AQ601" s="195" t="s">
        <v>523</v>
      </c>
      <c r="AR601" s="195" t="s">
        <v>519</v>
      </c>
      <c r="AS601" s="195" t="s">
        <v>529</v>
      </c>
      <c r="AT601" s="195" t="s">
        <v>528</v>
      </c>
      <c r="AU601" s="195" t="s">
        <v>530</v>
      </c>
      <c r="AV601" s="195" t="s">
        <v>522</v>
      </c>
      <c r="AW601" s="195" t="s">
        <v>527</v>
      </c>
      <c r="AX601" s="195" t="s">
        <v>526</v>
      </c>
      <c r="AZ601"/>
      <c r="BA601"/>
      <c r="BB601"/>
      <c r="BC601"/>
      <c r="BD601"/>
      <c r="BE601"/>
      <c r="BF601" s="152"/>
      <c r="BG601" s="152"/>
    </row>
    <row r="602" spans="1:59" s="90" customFormat="1" ht="14.25" customHeight="1" x14ac:dyDescent="0.2">
      <c r="A602" s="127"/>
      <c r="B602"/>
      <c r="C602" s="134"/>
      <c r="D602"/>
      <c r="E602"/>
      <c r="F602"/>
      <c r="G602"/>
      <c r="H602"/>
      <c r="I602"/>
      <c r="J602"/>
      <c r="K602"/>
      <c r="L602"/>
      <c r="M602"/>
      <c r="N602"/>
      <c r="O602"/>
      <c r="P602"/>
      <c r="Q602"/>
      <c r="R602"/>
      <c r="S602"/>
      <c r="T602"/>
      <c r="U602"/>
      <c r="V602"/>
      <c r="W602"/>
      <c r="X602" s="66"/>
      <c r="Y602" s="4"/>
      <c r="Z602" s="4"/>
      <c r="AA602" s="4"/>
      <c r="AB602" s="4"/>
      <c r="AC602" s="4"/>
      <c r="AD602" s="4"/>
      <c r="AE602" s="4"/>
      <c r="AF602" s="4"/>
      <c r="AG602"/>
      <c r="AH602"/>
      <c r="AI602"/>
      <c r="AJ602"/>
      <c r="AK602"/>
      <c r="AL602"/>
      <c r="AM602"/>
      <c r="AN602"/>
      <c r="AO602" s="148">
        <f t="shared" si="166"/>
        <v>8.928700000000001</v>
      </c>
      <c r="AP602" s="195">
        <v>489</v>
      </c>
      <c r="AQ602" s="195" t="s">
        <v>523</v>
      </c>
      <c r="AR602" s="195" t="s">
        <v>520</v>
      </c>
      <c r="AS602" s="195" t="s">
        <v>529</v>
      </c>
      <c r="AT602" s="195" t="s">
        <v>528</v>
      </c>
      <c r="AU602" s="195" t="s">
        <v>530</v>
      </c>
      <c r="AV602" s="195" t="s">
        <v>522</v>
      </c>
      <c r="AW602" s="195" t="s">
        <v>527</v>
      </c>
      <c r="AX602" s="195" t="s">
        <v>519</v>
      </c>
      <c r="AZ602"/>
      <c r="BA602"/>
      <c r="BB602"/>
      <c r="BC602"/>
      <c r="BD602"/>
      <c r="BE602"/>
      <c r="BF602" s="152"/>
      <c r="BG602" s="152"/>
    </row>
    <row r="603" spans="1:59" s="90" customFormat="1" ht="14.25" customHeight="1" x14ac:dyDescent="0.2">
      <c r="A603" s="127"/>
      <c r="B603"/>
      <c r="C603" s="134"/>
      <c r="D603"/>
      <c r="E603"/>
      <c r="F603"/>
      <c r="G603"/>
      <c r="H603"/>
      <c r="I603"/>
      <c r="J603"/>
      <c r="K603"/>
      <c r="L603"/>
      <c r="M603"/>
      <c r="N603"/>
      <c r="O603"/>
      <c r="P603"/>
      <c r="Q603"/>
      <c r="R603"/>
      <c r="S603"/>
      <c r="T603"/>
      <c r="U603"/>
      <c r="V603"/>
      <c r="W603"/>
      <c r="X603" s="66"/>
      <c r="Y603" s="4"/>
      <c r="Z603" s="4"/>
      <c r="AA603" s="4"/>
      <c r="AB603" s="4"/>
      <c r="AC603" s="4"/>
      <c r="AD603" s="4"/>
      <c r="AE603" s="4"/>
      <c r="AF603" s="4"/>
      <c r="AG603"/>
      <c r="AH603"/>
      <c r="AI603"/>
      <c r="AJ603"/>
      <c r="AK603"/>
      <c r="AL603"/>
      <c r="AM603"/>
      <c r="AN603"/>
      <c r="AO603" s="148">
        <f t="shared" si="166"/>
        <v>8.929000000000002</v>
      </c>
      <c r="AP603" s="195">
        <v>490</v>
      </c>
      <c r="AQ603" s="195" t="s">
        <v>523</v>
      </c>
      <c r="AR603" s="195" t="s">
        <v>519</v>
      </c>
      <c r="AS603" s="195" t="s">
        <v>529</v>
      </c>
      <c r="AT603" s="195" t="s">
        <v>528</v>
      </c>
      <c r="AU603" s="195" t="s">
        <v>530</v>
      </c>
      <c r="AV603" s="195" t="s">
        <v>522</v>
      </c>
      <c r="AW603" s="195" t="s">
        <v>527</v>
      </c>
      <c r="AX603" s="195" t="s">
        <v>521</v>
      </c>
      <c r="AZ603"/>
      <c r="BA603"/>
      <c r="BB603"/>
      <c r="BC603"/>
      <c r="BD603"/>
      <c r="BE603"/>
      <c r="BF603" s="152"/>
      <c r="BG603" s="152"/>
    </row>
    <row r="604" spans="1:59" s="90" customFormat="1" ht="14.25" customHeight="1" x14ac:dyDescent="0.2">
      <c r="A604" s="127"/>
      <c r="B604"/>
      <c r="C604" s="134"/>
      <c r="D604"/>
      <c r="E604"/>
      <c r="F604"/>
      <c r="G604"/>
      <c r="H604"/>
      <c r="I604"/>
      <c r="J604"/>
      <c r="K604"/>
      <c r="L604"/>
      <c r="M604"/>
      <c r="N604"/>
      <c r="O604"/>
      <c r="P604"/>
      <c r="Q604"/>
      <c r="R604"/>
      <c r="S604"/>
      <c r="T604"/>
      <c r="U604"/>
      <c r="V604"/>
      <c r="W604"/>
      <c r="X604" s="66"/>
      <c r="Y604" s="4"/>
      <c r="Z604" s="4"/>
      <c r="AA604" s="4"/>
      <c r="AB604" s="4"/>
      <c r="AC604" s="4"/>
      <c r="AD604" s="4"/>
      <c r="AE604" s="4"/>
      <c r="AF604" s="4"/>
      <c r="AG604"/>
      <c r="AH604"/>
      <c r="AI604"/>
      <c r="AJ604"/>
      <c r="AK604"/>
      <c r="AL604"/>
      <c r="AM604"/>
      <c r="AN604"/>
      <c r="AO604" s="148">
        <f t="shared" si="166"/>
        <v>8.9260000000000019</v>
      </c>
      <c r="AP604" s="195">
        <v>491</v>
      </c>
      <c r="AQ604" s="195" t="s">
        <v>528</v>
      </c>
      <c r="AR604" s="195" t="s">
        <v>524</v>
      </c>
      <c r="AS604" s="195" t="s">
        <v>529</v>
      </c>
      <c r="AT604" s="195" t="s">
        <v>527</v>
      </c>
      <c r="AU604" s="195" t="s">
        <v>530</v>
      </c>
      <c r="AV604" s="195" t="s">
        <v>522</v>
      </c>
      <c r="AW604" s="195" t="s">
        <v>525</v>
      </c>
      <c r="AX604" s="195" t="s">
        <v>519</v>
      </c>
      <c r="AZ604"/>
      <c r="BA604"/>
      <c r="BB604"/>
      <c r="BC604"/>
      <c r="BD604"/>
      <c r="BE604"/>
      <c r="BF604" s="152"/>
      <c r="BG604" s="152"/>
    </row>
    <row r="605" spans="1:59" s="90" customFormat="1" ht="14.25" customHeight="1" x14ac:dyDescent="0.2">
      <c r="A605" s="127"/>
      <c r="B605"/>
      <c r="C605" s="134"/>
      <c r="D605"/>
      <c r="E605"/>
      <c r="F605"/>
      <c r="G605"/>
      <c r="H605"/>
      <c r="I605"/>
      <c r="J605"/>
      <c r="K605"/>
      <c r="L605"/>
      <c r="M605"/>
      <c r="N605"/>
      <c r="O605"/>
      <c r="P605"/>
      <c r="Q605"/>
      <c r="R605"/>
      <c r="S605"/>
      <c r="T605"/>
      <c r="U605"/>
      <c r="V605"/>
      <c r="W605"/>
      <c r="X605" s="66"/>
      <c r="Y605" s="4"/>
      <c r="Z605" s="4"/>
      <c r="AA605" s="4"/>
      <c r="AB605" s="4"/>
      <c r="AC605" s="4"/>
      <c r="AD605" s="4"/>
      <c r="AE605" s="4"/>
      <c r="AF605" s="4"/>
      <c r="AG605"/>
      <c r="AH605"/>
      <c r="AI605"/>
      <c r="AJ605"/>
      <c r="AK605"/>
      <c r="AL605"/>
      <c r="AM605"/>
      <c r="AN605"/>
      <c r="AO605" s="148">
        <f t="shared" si="166"/>
        <v>8.9273000000000007</v>
      </c>
      <c r="AP605" s="195">
        <v>492</v>
      </c>
      <c r="AQ605" s="195" t="s">
        <v>528</v>
      </c>
      <c r="AR605" s="195" t="s">
        <v>524</v>
      </c>
      <c r="AS605" s="195" t="s">
        <v>529</v>
      </c>
      <c r="AT605" s="195" t="s">
        <v>527</v>
      </c>
      <c r="AU605" s="195" t="s">
        <v>530</v>
      </c>
      <c r="AV605" s="195" t="s">
        <v>522</v>
      </c>
      <c r="AW605" s="195" t="s">
        <v>519</v>
      </c>
      <c r="AX605" s="195" t="s">
        <v>526</v>
      </c>
      <c r="AZ605"/>
      <c r="BA605"/>
      <c r="BB605"/>
      <c r="BC605"/>
      <c r="BD605"/>
      <c r="BE605"/>
      <c r="BF605" s="152"/>
      <c r="BG605" s="152"/>
    </row>
    <row r="606" spans="1:59" s="90" customFormat="1" ht="14.25" customHeight="1" x14ac:dyDescent="0.2">
      <c r="A606" s="127"/>
      <c r="B606"/>
      <c r="C606" s="134"/>
      <c r="D606"/>
      <c r="E606"/>
      <c r="F606"/>
      <c r="G606"/>
      <c r="H606"/>
      <c r="I606"/>
      <c r="J606"/>
      <c r="K606"/>
      <c r="L606"/>
      <c r="M606"/>
      <c r="N606"/>
      <c r="O606"/>
      <c r="P606"/>
      <c r="Q606"/>
      <c r="R606"/>
      <c r="S606"/>
      <c r="T606"/>
      <c r="U606"/>
      <c r="V606"/>
      <c r="W606"/>
      <c r="X606" s="66"/>
      <c r="Y606" s="4"/>
      <c r="Z606" s="4"/>
      <c r="AA606" s="4"/>
      <c r="AB606" s="4"/>
      <c r="AC606" s="4"/>
      <c r="AD606" s="4"/>
      <c r="AE606" s="4"/>
      <c r="AF606" s="4"/>
      <c r="AG606"/>
      <c r="AH606"/>
      <c r="AI606"/>
      <c r="AJ606"/>
      <c r="AK606"/>
      <c r="AL606"/>
      <c r="AM606"/>
      <c r="AN606"/>
      <c r="AO606" s="148">
        <f t="shared" si="166"/>
        <v>8.9255000000000013</v>
      </c>
      <c r="AP606" s="195">
        <v>493</v>
      </c>
      <c r="AQ606" s="195" t="s">
        <v>528</v>
      </c>
      <c r="AR606" s="195" t="s">
        <v>524</v>
      </c>
      <c r="AS606" s="195" t="s">
        <v>529</v>
      </c>
      <c r="AT606" s="195" t="s">
        <v>527</v>
      </c>
      <c r="AU606" s="195" t="s">
        <v>530</v>
      </c>
      <c r="AV606" s="195" t="s">
        <v>522</v>
      </c>
      <c r="AW606" s="195" t="s">
        <v>519</v>
      </c>
      <c r="AX606" s="195" t="s">
        <v>520</v>
      </c>
      <c r="AZ606"/>
      <c r="BA606"/>
      <c r="BB606"/>
      <c r="BC606"/>
      <c r="BD606"/>
      <c r="BE606"/>
      <c r="BF606" s="152"/>
      <c r="BG606" s="152"/>
    </row>
    <row r="607" spans="1:59" s="90" customFormat="1" ht="14.25" customHeight="1" x14ac:dyDescent="0.2">
      <c r="A607" s="127"/>
      <c r="B607"/>
      <c r="C607" s="134"/>
      <c r="D607"/>
      <c r="E607"/>
      <c r="F607"/>
      <c r="G607"/>
      <c r="H607"/>
      <c r="I607"/>
      <c r="J607"/>
      <c r="K607"/>
      <c r="L607"/>
      <c r="M607"/>
      <c r="N607"/>
      <c r="O607"/>
      <c r="P607"/>
      <c r="Q607"/>
      <c r="R607"/>
      <c r="S607"/>
      <c r="T607"/>
      <c r="U607"/>
      <c r="V607"/>
      <c r="W607"/>
      <c r="X607" s="66"/>
      <c r="Y607" s="4"/>
      <c r="Z607" s="4"/>
      <c r="AA607" s="4"/>
      <c r="AB607" s="4"/>
      <c r="AC607" s="4"/>
      <c r="AD607" s="4"/>
      <c r="AE607" s="4"/>
      <c r="AF607" s="4"/>
      <c r="AG607"/>
      <c r="AH607"/>
      <c r="AI607"/>
      <c r="AJ607"/>
      <c r="AK607"/>
      <c r="AL607"/>
      <c r="AM607"/>
      <c r="AN607"/>
      <c r="AO607" s="148">
        <f t="shared" si="166"/>
        <v>8.9258000000000006</v>
      </c>
      <c r="AP607" s="195">
        <v>494</v>
      </c>
      <c r="AQ607" s="195" t="s">
        <v>528</v>
      </c>
      <c r="AR607" s="195" t="s">
        <v>524</v>
      </c>
      <c r="AS607" s="195" t="s">
        <v>529</v>
      </c>
      <c r="AT607" s="195" t="s">
        <v>527</v>
      </c>
      <c r="AU607" s="195" t="s">
        <v>530</v>
      </c>
      <c r="AV607" s="195" t="s">
        <v>522</v>
      </c>
      <c r="AW607" s="195" t="s">
        <v>519</v>
      </c>
      <c r="AX607" s="195" t="s">
        <v>521</v>
      </c>
      <c r="AZ607"/>
      <c r="BA607"/>
      <c r="BB607"/>
      <c r="BC607"/>
      <c r="BD607"/>
      <c r="BE607"/>
      <c r="BF607" s="152"/>
      <c r="BG607" s="152"/>
    </row>
    <row r="608" spans="1:59" s="90" customFormat="1" ht="14.25" customHeight="1" x14ac:dyDescent="0.2">
      <c r="A608" s="127"/>
      <c r="B608"/>
      <c r="C608" s="134"/>
      <c r="D608"/>
      <c r="E608"/>
      <c r="F608"/>
      <c r="G608"/>
      <c r="H608"/>
      <c r="I608"/>
      <c r="J608"/>
      <c r="K608"/>
      <c r="L608"/>
      <c r="M608"/>
      <c r="N608"/>
      <c r="O608"/>
      <c r="P608"/>
      <c r="Q608"/>
      <c r="R608"/>
      <c r="S608"/>
      <c r="T608"/>
      <c r="U608"/>
      <c r="V608"/>
      <c r="W608"/>
      <c r="X608" s="66"/>
      <c r="Y608" s="4"/>
      <c r="Z608" s="4"/>
      <c r="AA608" s="4"/>
      <c r="AB608" s="4"/>
      <c r="AC608" s="4"/>
      <c r="AD608" s="4"/>
      <c r="AE608" s="4"/>
      <c r="AF608" s="4"/>
      <c r="AG608"/>
      <c r="AH608"/>
      <c r="AI608"/>
      <c r="AJ608"/>
      <c r="AK608"/>
      <c r="AL608"/>
      <c r="AM608"/>
      <c r="AN608"/>
      <c r="AO608" s="148">
        <f t="shared" si="166"/>
        <v>8.9288000000000007</v>
      </c>
      <c r="AP608" s="195">
        <v>495</v>
      </c>
      <c r="AQ608" s="195" t="s">
        <v>523</v>
      </c>
      <c r="AR608" s="195" t="s">
        <v>524</v>
      </c>
      <c r="AS608" s="195" t="s">
        <v>529</v>
      </c>
      <c r="AT608" s="195" t="s">
        <v>528</v>
      </c>
      <c r="AU608" s="195" t="s">
        <v>530</v>
      </c>
      <c r="AV608" s="195" t="s">
        <v>522</v>
      </c>
      <c r="AW608" s="195" t="s">
        <v>527</v>
      </c>
      <c r="AX608" s="195" t="s">
        <v>519</v>
      </c>
      <c r="AZ608"/>
      <c r="BA608"/>
      <c r="BB608"/>
      <c r="BC608"/>
      <c r="BD608"/>
      <c r="BE608"/>
      <c r="BF608" s="152"/>
      <c r="BG608" s="152"/>
    </row>
    <row r="609" spans="1:59" s="90" customFormat="1" ht="14.25" customHeight="1" x14ac:dyDescent="0.2">
      <c r="A609" s="127"/>
      <c r="B609"/>
      <c r="C609" s="134"/>
      <c r="D609"/>
      <c r="E609"/>
      <c r="F609"/>
      <c r="G609"/>
      <c r="H609"/>
      <c r="I609"/>
      <c r="J609"/>
      <c r="K609"/>
      <c r="L609"/>
      <c r="M609"/>
      <c r="N609"/>
      <c r="O609"/>
      <c r="P609"/>
      <c r="Q609"/>
      <c r="R609"/>
      <c r="S609"/>
      <c r="T609"/>
      <c r="U609"/>
      <c r="V609"/>
      <c r="W609"/>
      <c r="X609" s="66"/>
      <c r="Y609" s="4"/>
      <c r="Z609" s="4"/>
      <c r="AA609" s="4"/>
      <c r="AB609" s="4"/>
      <c r="AC609" s="4"/>
      <c r="AD609" s="4"/>
      <c r="AE609" s="4"/>
      <c r="AF609" s="4"/>
      <c r="AG609"/>
      <c r="AH609"/>
      <c r="AI609"/>
      <c r="AJ609"/>
      <c r="AK609"/>
      <c r="AL609"/>
      <c r="AM609"/>
      <c r="AN609"/>
      <c r="AO609"/>
      <c r="AP609"/>
      <c r="AQ609"/>
      <c r="AR609"/>
      <c r="AS609"/>
      <c r="AT609"/>
      <c r="AU609"/>
      <c r="AV609"/>
      <c r="AW609"/>
      <c r="AX609"/>
      <c r="AY609"/>
      <c r="AZ609"/>
      <c r="BA609"/>
      <c r="BB609"/>
      <c r="BC609"/>
      <c r="BD609"/>
      <c r="BE609"/>
      <c r="BF609" s="152"/>
      <c r="BG609" s="152"/>
    </row>
    <row r="610" spans="1:59" s="90" customFormat="1" ht="14.25" customHeight="1" x14ac:dyDescent="0.2">
      <c r="A610" s="127"/>
      <c r="B610"/>
      <c r="C610" s="134"/>
      <c r="D610"/>
      <c r="E610"/>
      <c r="F610"/>
      <c r="G610"/>
      <c r="H610"/>
      <c r="I610"/>
      <c r="J610"/>
      <c r="K610"/>
      <c r="L610"/>
      <c r="M610"/>
      <c r="N610"/>
      <c r="O610"/>
      <c r="P610"/>
      <c r="Q610"/>
      <c r="R610"/>
      <c r="S610"/>
      <c r="T610"/>
      <c r="U610"/>
      <c r="V610"/>
      <c r="W610"/>
      <c r="X610" s="66"/>
      <c r="Y610" s="4"/>
      <c r="Z610" s="4"/>
      <c r="AA610" s="4"/>
      <c r="AB610" s="4"/>
      <c r="AC610" s="4"/>
      <c r="AD610" s="4"/>
      <c r="AE610" s="4"/>
      <c r="AF610" s="4"/>
      <c r="AG610"/>
      <c r="AH610"/>
      <c r="AI610"/>
      <c r="AJ610"/>
      <c r="AK610"/>
      <c r="AL610"/>
      <c r="AM610"/>
      <c r="AN610"/>
      <c r="AO610"/>
      <c r="AP610"/>
      <c r="AQ610"/>
      <c r="AR610"/>
      <c r="AS610"/>
      <c r="AT610"/>
      <c r="AU610"/>
      <c r="AV610"/>
      <c r="AW610"/>
      <c r="AX610"/>
      <c r="AY610"/>
      <c r="AZ610"/>
      <c r="BA610"/>
      <c r="BB610"/>
      <c r="BC610"/>
      <c r="BD610"/>
      <c r="BE610"/>
      <c r="BF610" s="152"/>
      <c r="BG610" s="152"/>
    </row>
    <row r="611" spans="1:59" s="90" customFormat="1" ht="14.25" customHeight="1" x14ac:dyDescent="0.2">
      <c r="A611" s="127"/>
      <c r="B611"/>
      <c r="C611" s="134"/>
      <c r="D611"/>
      <c r="E611"/>
      <c r="F611"/>
      <c r="G611"/>
      <c r="H611"/>
      <c r="I611"/>
      <c r="J611"/>
      <c r="K611"/>
      <c r="L611"/>
      <c r="M611"/>
      <c r="N611"/>
      <c r="O611"/>
      <c r="P611"/>
      <c r="Q611"/>
      <c r="R611"/>
      <c r="S611"/>
      <c r="T611"/>
      <c r="U611"/>
      <c r="V611"/>
      <c r="W611"/>
      <c r="X611" s="66"/>
      <c r="Y611" s="4"/>
      <c r="Z611" s="4"/>
      <c r="AA611" s="4"/>
      <c r="AB611" s="4"/>
      <c r="AC611" s="4"/>
      <c r="AD611" s="4"/>
      <c r="AE611" s="4"/>
      <c r="AF611" s="4"/>
      <c r="AG611"/>
      <c r="AH611"/>
      <c r="AI611"/>
      <c r="AJ611"/>
      <c r="AK611"/>
      <c r="AL611"/>
      <c r="AM611"/>
      <c r="AN611"/>
      <c r="AO611"/>
      <c r="AP611"/>
      <c r="AQ611"/>
      <c r="AR611"/>
      <c r="AS611"/>
      <c r="AT611"/>
      <c r="AU611"/>
      <c r="AV611"/>
      <c r="AW611"/>
      <c r="AX611"/>
      <c r="AY611"/>
      <c r="AZ611"/>
      <c r="BA611"/>
      <c r="BB611"/>
      <c r="BC611"/>
      <c r="BD611"/>
      <c r="BE611"/>
      <c r="BF611" s="152"/>
      <c r="BG611" s="152"/>
    </row>
    <row r="612" spans="1:59" s="90" customFormat="1" ht="14.25" hidden="1" customHeight="1" x14ac:dyDescent="0.2">
      <c r="A612" s="127"/>
      <c r="B612"/>
      <c r="C612" s="134"/>
      <c r="D612"/>
      <c r="E612"/>
      <c r="F612"/>
      <c r="G612"/>
      <c r="H612"/>
      <c r="I612"/>
      <c r="J612"/>
      <c r="K612"/>
      <c r="L612"/>
      <c r="M612"/>
      <c r="N612"/>
      <c r="O612"/>
      <c r="P612"/>
      <c r="Q612"/>
      <c r="R612"/>
      <c r="S612"/>
      <c r="T612"/>
      <c r="U612"/>
      <c r="V612"/>
      <c r="W612"/>
      <c r="X612" s="66"/>
      <c r="Y612" s="4"/>
      <c r="Z612" s="4"/>
      <c r="AA612" s="4"/>
      <c r="AB612" s="4"/>
      <c r="AC612" s="4"/>
      <c r="AD612" s="4"/>
      <c r="AE612" s="4"/>
      <c r="AF612" s="4"/>
      <c r="AG612"/>
      <c r="AH612"/>
      <c r="AI612"/>
      <c r="AJ612"/>
      <c r="AK612"/>
      <c r="AL612"/>
      <c r="AM612"/>
      <c r="AN612"/>
      <c r="AO612"/>
      <c r="AP612"/>
      <c r="AQ612"/>
      <c r="AR612"/>
      <c r="AS612"/>
      <c r="AT612"/>
      <c r="AU612"/>
      <c r="AV612"/>
      <c r="AW612"/>
      <c r="AX612"/>
      <c r="AY612"/>
      <c r="AZ612"/>
      <c r="BA612"/>
      <c r="BB612"/>
      <c r="BC612"/>
      <c r="BD612"/>
      <c r="BE612"/>
      <c r="BF612" s="152"/>
      <c r="BG612" s="152"/>
    </row>
    <row r="613" spans="1:59" s="90" customFormat="1" ht="14.25" hidden="1" customHeight="1" x14ac:dyDescent="0.2">
      <c r="A613" s="127"/>
      <c r="B613"/>
      <c r="C613" s="134"/>
      <c r="D613"/>
      <c r="E613"/>
      <c r="F613"/>
      <c r="G613"/>
      <c r="H613"/>
      <c r="I613"/>
      <c r="J613"/>
      <c r="K613"/>
      <c r="L613"/>
      <c r="M613"/>
      <c r="N613"/>
      <c r="O613"/>
      <c r="P613"/>
      <c r="Q613"/>
      <c r="R613"/>
      <c r="S613"/>
      <c r="T613"/>
      <c r="U613"/>
      <c r="V613"/>
      <c r="W613"/>
      <c r="X613" s="66"/>
      <c r="Y613" s="4"/>
      <c r="Z613" s="4"/>
      <c r="AA613" s="4"/>
      <c r="AB613" s="4"/>
      <c r="AC613" s="4"/>
      <c r="AD613" s="4"/>
      <c r="AE613" s="4"/>
      <c r="AF613" s="4"/>
      <c r="AG613"/>
      <c r="AH613"/>
      <c r="AI613"/>
      <c r="AJ613"/>
      <c r="AK613"/>
      <c r="AL613"/>
      <c r="AM613"/>
      <c r="AN613"/>
      <c r="AO613"/>
      <c r="AP613"/>
      <c r="AQ613"/>
      <c r="AR613"/>
      <c r="AS613"/>
      <c r="AT613"/>
      <c r="AU613"/>
      <c r="AV613"/>
      <c r="AW613"/>
      <c r="AX613"/>
      <c r="AY613"/>
      <c r="AZ613"/>
      <c r="BA613"/>
      <c r="BB613"/>
      <c r="BC613"/>
      <c r="BD613"/>
      <c r="BE613"/>
      <c r="BF613" s="152"/>
      <c r="BG613" s="152"/>
    </row>
    <row r="614" spans="1:59" s="90" customFormat="1" ht="14.25" hidden="1" customHeight="1" x14ac:dyDescent="0.2">
      <c r="A614" s="127"/>
      <c r="B614"/>
      <c r="C614" s="134"/>
      <c r="D614"/>
      <c r="E614"/>
      <c r="F614"/>
      <c r="G614"/>
      <c r="H614"/>
      <c r="I614"/>
      <c r="J614"/>
      <c r="K614"/>
      <c r="L614"/>
      <c r="M614"/>
      <c r="N614"/>
      <c r="O614"/>
      <c r="P614"/>
      <c r="Q614"/>
      <c r="R614"/>
      <c r="S614"/>
      <c r="T614"/>
      <c r="U614"/>
      <c r="V614"/>
      <c r="W614"/>
      <c r="X614" s="66"/>
      <c r="Y614" s="4"/>
      <c r="Z614" s="4"/>
      <c r="AA614" s="4"/>
      <c r="AB614" s="4"/>
      <c r="AC614" s="4"/>
      <c r="AD614" s="4"/>
      <c r="AE614" s="4"/>
      <c r="AF614" s="4"/>
      <c r="AG614"/>
      <c r="AH614"/>
      <c r="AI614"/>
      <c r="AJ614"/>
      <c r="AK614"/>
      <c r="AL614"/>
      <c r="AM614"/>
      <c r="AN614"/>
      <c r="AO614"/>
      <c r="AP614"/>
      <c r="AQ614"/>
      <c r="AR614"/>
      <c r="AS614"/>
      <c r="AT614"/>
      <c r="AU614"/>
      <c r="AV614"/>
      <c r="AW614"/>
      <c r="AX614"/>
      <c r="AY614"/>
      <c r="AZ614"/>
      <c r="BA614"/>
      <c r="BB614"/>
      <c r="BC614"/>
      <c r="BD614"/>
      <c r="BE614"/>
      <c r="BF614" s="152"/>
      <c r="BG614" s="152"/>
    </row>
    <row r="615" spans="1:59" s="90" customFormat="1" ht="14.25" hidden="1" customHeight="1" x14ac:dyDescent="0.2">
      <c r="A615" s="127"/>
      <c r="B615"/>
      <c r="C615" s="134"/>
      <c r="D615"/>
      <c r="E615"/>
      <c r="F615"/>
      <c r="G615"/>
      <c r="H615"/>
      <c r="I615"/>
      <c r="J615"/>
      <c r="K615"/>
      <c r="L615"/>
      <c r="M615"/>
      <c r="N615"/>
      <c r="O615"/>
      <c r="P615"/>
      <c r="Q615"/>
      <c r="R615"/>
      <c r="S615"/>
      <c r="T615"/>
      <c r="U615"/>
      <c r="V615"/>
      <c r="W615"/>
      <c r="X615" s="66"/>
      <c r="Y615" s="4"/>
      <c r="Z615" s="4"/>
      <c r="AA615" s="4"/>
      <c r="AB615" s="4"/>
      <c r="AC615" s="4"/>
      <c r="AD615" s="4"/>
      <c r="AE615" s="4"/>
      <c r="AF615" s="4"/>
      <c r="AG615"/>
      <c r="AH615"/>
      <c r="AI615"/>
      <c r="AJ615"/>
      <c r="AK615"/>
      <c r="AL615"/>
      <c r="AM615"/>
      <c r="AN615"/>
      <c r="AO615"/>
      <c r="AP615"/>
      <c r="AQ615"/>
      <c r="AR615"/>
      <c r="AS615"/>
      <c r="AT615"/>
      <c r="AU615"/>
      <c r="AV615"/>
      <c r="AW615"/>
      <c r="AX615"/>
      <c r="AY615"/>
      <c r="AZ615"/>
      <c r="BA615"/>
      <c r="BB615"/>
      <c r="BC615"/>
      <c r="BD615"/>
      <c r="BE615"/>
      <c r="BF615" s="152"/>
      <c r="BG615" s="152"/>
    </row>
    <row r="616" spans="1:59" s="90" customFormat="1" ht="14.25" hidden="1" customHeight="1" x14ac:dyDescent="0.2">
      <c r="A616" s="127"/>
      <c r="B616"/>
      <c r="C616" s="134"/>
      <c r="D616"/>
      <c r="E616"/>
      <c r="F616"/>
      <c r="G616"/>
      <c r="H616"/>
      <c r="I616"/>
      <c r="J616"/>
      <c r="K616"/>
      <c r="L616"/>
      <c r="M616"/>
      <c r="N616"/>
      <c r="O616"/>
      <c r="P616"/>
      <c r="Q616"/>
      <c r="R616"/>
      <c r="S616"/>
      <c r="T616"/>
      <c r="U616"/>
      <c r="V616"/>
      <c r="W616"/>
      <c r="X616" s="66"/>
      <c r="Y616" s="4"/>
      <c r="Z616" s="4"/>
      <c r="AA616" s="4"/>
      <c r="AB616" s="4"/>
      <c r="AC616" s="4"/>
      <c r="AD616" s="4"/>
      <c r="AE616" s="4"/>
      <c r="AF616" s="4"/>
      <c r="AG616"/>
      <c r="AH616"/>
      <c r="AI616"/>
      <c r="AJ616"/>
      <c r="AK616"/>
      <c r="AL616"/>
      <c r="AM616"/>
      <c r="AN616"/>
      <c r="AO616"/>
      <c r="AP616"/>
      <c r="AQ616"/>
      <c r="AR616"/>
      <c r="AS616"/>
      <c r="AT616"/>
      <c r="AU616"/>
      <c r="AV616"/>
      <c r="AW616"/>
      <c r="AX616"/>
      <c r="AY616"/>
      <c r="AZ616"/>
      <c r="BA616"/>
      <c r="BB616"/>
      <c r="BC616"/>
      <c r="BD616"/>
      <c r="BE616"/>
      <c r="BF616" s="152"/>
      <c r="BG616" s="152"/>
    </row>
    <row r="617" spans="1:59" s="90" customFormat="1" ht="14.25" hidden="1" customHeight="1" x14ac:dyDescent="0.2">
      <c r="A617" s="127"/>
      <c r="B617"/>
      <c r="C617" s="134"/>
      <c r="D617"/>
      <c r="E617"/>
      <c r="F617"/>
      <c r="G617"/>
      <c r="H617"/>
      <c r="I617"/>
      <c r="J617"/>
      <c r="K617"/>
      <c r="L617"/>
      <c r="M617"/>
      <c r="N617"/>
      <c r="O617"/>
      <c r="P617"/>
      <c r="Q617"/>
      <c r="R617"/>
      <c r="S617"/>
      <c r="T617"/>
      <c r="U617"/>
      <c r="V617"/>
      <c r="W617"/>
      <c r="X617" s="66"/>
      <c r="Y617" s="4"/>
      <c r="Z617" s="4"/>
      <c r="AA617" s="4"/>
      <c r="AB617" s="4"/>
      <c r="AC617" s="4"/>
      <c r="AD617" s="4"/>
      <c r="AE617" s="4"/>
      <c r="AF617" s="4"/>
      <c r="AG617"/>
      <c r="AH617"/>
      <c r="AI617"/>
      <c r="AJ617"/>
      <c r="AK617"/>
      <c r="AL617"/>
      <c r="AM617"/>
      <c r="AN617"/>
      <c r="AO617"/>
      <c r="AP617"/>
      <c r="AQ617"/>
      <c r="AR617"/>
      <c r="AS617"/>
      <c r="AT617"/>
      <c r="AU617"/>
      <c r="AV617"/>
      <c r="AW617"/>
      <c r="AX617"/>
      <c r="AY617"/>
      <c r="AZ617"/>
      <c r="BA617"/>
      <c r="BB617"/>
      <c r="BC617"/>
      <c r="BD617"/>
      <c r="BE617"/>
      <c r="BF617" s="152"/>
      <c r="BG617" s="152"/>
    </row>
    <row r="618" spans="1:59" s="90" customFormat="1" ht="14.25" hidden="1" customHeight="1" x14ac:dyDescent="0.2">
      <c r="A618" s="127"/>
      <c r="B618"/>
      <c r="C618" s="134"/>
      <c r="D618"/>
      <c r="E618"/>
      <c r="F618"/>
      <c r="G618"/>
      <c r="H618"/>
      <c r="I618"/>
      <c r="J618"/>
      <c r="K618"/>
      <c r="L618"/>
      <c r="M618"/>
      <c r="N618"/>
      <c r="O618"/>
      <c r="P618"/>
      <c r="Q618"/>
      <c r="R618"/>
      <c r="S618"/>
      <c r="T618"/>
      <c r="U618"/>
      <c r="V618"/>
      <c r="W618"/>
      <c r="X618" s="66"/>
      <c r="Y618" s="4"/>
      <c r="Z618" s="4"/>
      <c r="AA618" s="4"/>
      <c r="AB618" s="4"/>
      <c r="AC618" s="4"/>
      <c r="AD618" s="4"/>
      <c r="AE618" s="4"/>
      <c r="AF618" s="4"/>
      <c r="AG618"/>
      <c r="AH618"/>
      <c r="AI618"/>
      <c r="AJ618"/>
      <c r="AK618"/>
      <c r="AL618"/>
      <c r="AM618"/>
      <c r="AN618"/>
      <c r="AO618"/>
      <c r="AP618"/>
      <c r="AQ618"/>
      <c r="AR618"/>
      <c r="AS618"/>
      <c r="AT618"/>
      <c r="AU618"/>
      <c r="AV618"/>
      <c r="AW618"/>
      <c r="AX618"/>
      <c r="AY618"/>
      <c r="AZ618"/>
      <c r="BA618"/>
      <c r="BB618"/>
      <c r="BC618"/>
      <c r="BD618"/>
      <c r="BE618"/>
      <c r="BF618" s="152"/>
      <c r="BG618" s="152"/>
    </row>
    <row r="619" spans="1:59" s="90" customFormat="1" ht="14.25" hidden="1" customHeight="1" x14ac:dyDescent="0.2">
      <c r="A619" s="127"/>
      <c r="B619"/>
      <c r="C619" s="134"/>
      <c r="D619"/>
      <c r="E619"/>
      <c r="F619"/>
      <c r="G619"/>
      <c r="H619"/>
      <c r="I619"/>
      <c r="J619"/>
      <c r="K619"/>
      <c r="L619"/>
      <c r="M619"/>
      <c r="N619"/>
      <c r="O619"/>
      <c r="P619"/>
      <c r="Q619"/>
      <c r="R619"/>
      <c r="S619"/>
      <c r="T619"/>
      <c r="U619"/>
      <c r="V619"/>
      <c r="W619"/>
      <c r="X619" s="66"/>
      <c r="Y619" s="4"/>
      <c r="Z619" s="4"/>
      <c r="AA619" s="4"/>
      <c r="AB619" s="4"/>
      <c r="AC619" s="4"/>
      <c r="AD619" s="4"/>
      <c r="AE619" s="4"/>
      <c r="AF619" s="4"/>
      <c r="AG619"/>
      <c r="AH619"/>
      <c r="AI619"/>
      <c r="AJ619"/>
      <c r="AK619"/>
      <c r="AL619"/>
      <c r="AO619"/>
      <c r="AP619"/>
      <c r="AQ619"/>
      <c r="AR619"/>
      <c r="AS619"/>
      <c r="AT619"/>
      <c r="AU619"/>
      <c r="AV619"/>
      <c r="AW619"/>
      <c r="AX619"/>
      <c r="AY619"/>
      <c r="AZ619"/>
      <c r="BA619"/>
      <c r="BB619"/>
      <c r="BC619"/>
      <c r="BD619"/>
      <c r="BE619"/>
      <c r="BF619" s="152"/>
      <c r="BG619" s="152"/>
    </row>
    <row r="620" spans="1:59" s="90" customFormat="1" ht="14.25" hidden="1" customHeight="1" x14ac:dyDescent="0.2">
      <c r="A620" s="127"/>
      <c r="B620"/>
      <c r="C620" s="134"/>
      <c r="D620"/>
      <c r="E620"/>
      <c r="F620"/>
      <c r="G620"/>
      <c r="H620"/>
      <c r="I620"/>
      <c r="J620"/>
      <c r="K620"/>
      <c r="L620"/>
      <c r="M620"/>
      <c r="N620"/>
      <c r="O620"/>
      <c r="P620"/>
      <c r="Q620"/>
      <c r="R620"/>
      <c r="S620"/>
      <c r="T620"/>
      <c r="U620"/>
      <c r="V620"/>
      <c r="W620"/>
      <c r="X620" s="66"/>
      <c r="Y620" s="4"/>
      <c r="Z620" s="4"/>
      <c r="AA620" s="4"/>
      <c r="AB620" s="4"/>
      <c r="AC620" s="4"/>
      <c r="AD620" s="4"/>
      <c r="AE620" s="4"/>
      <c r="AF620" s="4"/>
      <c r="AG620"/>
      <c r="AO620"/>
      <c r="AP620"/>
      <c r="AQ620"/>
      <c r="AR620"/>
      <c r="AS620"/>
      <c r="AT620"/>
      <c r="AU620"/>
      <c r="AV620"/>
      <c r="AW620"/>
      <c r="AX620"/>
      <c r="AY620"/>
      <c r="AZ620"/>
      <c r="BA620"/>
      <c r="BB620"/>
      <c r="BC620"/>
      <c r="BD620"/>
      <c r="BE620"/>
      <c r="BF620" s="152"/>
      <c r="BG620" s="152"/>
    </row>
    <row r="621" spans="1:59" s="90" customFormat="1" ht="14.25" hidden="1" customHeight="1" x14ac:dyDescent="0.2">
      <c r="A621" s="127"/>
      <c r="B621"/>
      <c r="C621" s="134"/>
      <c r="D621"/>
      <c r="E621"/>
      <c r="F621"/>
      <c r="G621"/>
      <c r="H621"/>
      <c r="I621"/>
      <c r="J621"/>
      <c r="K621"/>
      <c r="L621"/>
      <c r="M621"/>
      <c r="N621"/>
      <c r="O621"/>
      <c r="P621"/>
      <c r="Q621"/>
      <c r="R621"/>
      <c r="S621"/>
      <c r="T621"/>
      <c r="U621"/>
      <c r="V621"/>
      <c r="W621"/>
      <c r="X621" s="66"/>
      <c r="Y621" s="4"/>
      <c r="Z621" s="4"/>
      <c r="AA621" s="4"/>
      <c r="AB621" s="4"/>
      <c r="AC621" s="4"/>
      <c r="AD621" s="4"/>
      <c r="AE621" s="4"/>
      <c r="AF621" s="4"/>
      <c r="AG621"/>
      <c r="AO621"/>
      <c r="AP621"/>
      <c r="AQ621"/>
      <c r="AR621"/>
      <c r="AS621"/>
      <c r="AT621"/>
      <c r="AU621"/>
      <c r="AV621"/>
      <c r="AW621"/>
      <c r="AX621"/>
      <c r="AY621"/>
      <c r="AZ621" s="95"/>
      <c r="BA621" s="95"/>
      <c r="BB621" s="94"/>
      <c r="BC621"/>
      <c r="BD621"/>
      <c r="BE621"/>
      <c r="BF621" s="152"/>
      <c r="BG621" s="152"/>
    </row>
    <row r="622" spans="1:59" s="90" customFormat="1" ht="14.25" hidden="1" customHeight="1" x14ac:dyDescent="0.2">
      <c r="A622" s="127"/>
      <c r="B622"/>
      <c r="C622" s="134"/>
      <c r="D622"/>
      <c r="E622"/>
      <c r="F622"/>
      <c r="G622"/>
      <c r="H622"/>
      <c r="I622"/>
      <c r="J622"/>
      <c r="K622"/>
      <c r="L622"/>
      <c r="M622"/>
      <c r="N622"/>
      <c r="O622"/>
      <c r="P622"/>
      <c r="Q622"/>
      <c r="R622"/>
      <c r="S622"/>
      <c r="T622"/>
      <c r="U622"/>
      <c r="V622"/>
      <c r="W622"/>
      <c r="X622" s="66"/>
      <c r="Y622" s="4"/>
      <c r="Z622" s="4"/>
      <c r="AA622" s="4"/>
      <c r="AB622" s="4"/>
      <c r="AC622" s="4"/>
      <c r="AD622" s="4"/>
      <c r="AE622" s="4"/>
      <c r="AF622" s="4"/>
      <c r="AG622"/>
      <c r="AO622"/>
      <c r="AP622"/>
      <c r="AQ622"/>
      <c r="AR622"/>
      <c r="AS622"/>
      <c r="AT622"/>
      <c r="AU622"/>
      <c r="AV622"/>
      <c r="AW622"/>
      <c r="AX622"/>
      <c r="AY622"/>
      <c r="AZ622" s="95"/>
      <c r="BA622" s="95"/>
      <c r="BB622" s="94"/>
      <c r="BC622"/>
      <c r="BD622"/>
      <c r="BE622"/>
      <c r="BF622" s="152"/>
      <c r="BG622" s="152"/>
    </row>
    <row r="623" spans="1:59" s="90" customFormat="1" ht="14.25" hidden="1" customHeight="1" x14ac:dyDescent="0.2">
      <c r="A623" s="127"/>
      <c r="B623"/>
      <c r="C623" s="134"/>
      <c r="D623"/>
      <c r="E623"/>
      <c r="F623"/>
      <c r="G623"/>
      <c r="H623"/>
      <c r="I623"/>
      <c r="J623"/>
      <c r="K623"/>
      <c r="L623"/>
      <c r="M623"/>
      <c r="N623"/>
      <c r="O623"/>
      <c r="P623"/>
      <c r="Q623"/>
      <c r="R623"/>
      <c r="S623"/>
      <c r="T623"/>
      <c r="U623"/>
      <c r="V623"/>
      <c r="W623"/>
      <c r="X623" s="66"/>
      <c r="Y623" s="4"/>
      <c r="Z623" s="4"/>
      <c r="AA623" s="4"/>
      <c r="AB623" s="4"/>
      <c r="AC623" s="4"/>
      <c r="AD623" s="4"/>
      <c r="AE623" s="4"/>
      <c r="AF623" s="4"/>
      <c r="AG623"/>
      <c r="AO623"/>
      <c r="AP623"/>
      <c r="AQ623"/>
      <c r="AR623"/>
      <c r="AS623"/>
      <c r="AT623"/>
      <c r="AU623"/>
      <c r="AV623"/>
      <c r="AW623"/>
      <c r="AX623"/>
      <c r="AY623"/>
      <c r="AZ623" s="95"/>
      <c r="BA623" s="95"/>
      <c r="BB623" s="94"/>
      <c r="BC623"/>
      <c r="BD623"/>
      <c r="BE623"/>
      <c r="BF623" s="152"/>
      <c r="BG623" s="152"/>
    </row>
    <row r="624" spans="1:59" s="90" customFormat="1" ht="14.25" hidden="1" customHeight="1" x14ac:dyDescent="0.2">
      <c r="A624" s="127"/>
      <c r="B624"/>
      <c r="C624" s="134"/>
      <c r="D624"/>
      <c r="E624"/>
      <c r="F624"/>
      <c r="G624"/>
      <c r="H624"/>
      <c r="I624"/>
      <c r="J624"/>
      <c r="K624"/>
      <c r="L624"/>
      <c r="M624"/>
      <c r="N624"/>
      <c r="O624"/>
      <c r="P624"/>
      <c r="Q624"/>
      <c r="R624"/>
      <c r="S624"/>
      <c r="T624"/>
      <c r="U624"/>
      <c r="V624"/>
      <c r="W624"/>
      <c r="X624" s="66"/>
      <c r="Y624" s="4"/>
      <c r="Z624" s="4"/>
      <c r="AA624" s="4"/>
      <c r="AB624" s="4"/>
      <c r="AC624" s="4"/>
      <c r="AD624" s="4"/>
      <c r="AE624" s="4"/>
      <c r="AF624" s="4"/>
      <c r="AG624"/>
      <c r="AO624"/>
      <c r="AP624"/>
      <c r="AQ624"/>
      <c r="AR624"/>
      <c r="AS624"/>
      <c r="AT624"/>
      <c r="AU624"/>
      <c r="AV624"/>
      <c r="AW624"/>
      <c r="AX624"/>
      <c r="AY624"/>
      <c r="AZ624" s="95"/>
      <c r="BA624" s="95"/>
      <c r="BB624" s="94"/>
      <c r="BC624"/>
      <c r="BD624"/>
      <c r="BE624"/>
      <c r="BF624" s="152"/>
      <c r="BG624" s="152"/>
    </row>
    <row r="625" spans="1:59" s="90" customFormat="1" ht="14.25" hidden="1" customHeight="1" x14ac:dyDescent="0.2">
      <c r="A625" s="127"/>
      <c r="B625"/>
      <c r="C625" s="134"/>
      <c r="D625"/>
      <c r="E625"/>
      <c r="F625"/>
      <c r="G625"/>
      <c r="H625"/>
      <c r="I625"/>
      <c r="J625"/>
      <c r="K625"/>
      <c r="L625"/>
      <c r="M625"/>
      <c r="N625"/>
      <c r="O625"/>
      <c r="P625"/>
      <c r="Q625"/>
      <c r="R625"/>
      <c r="S625"/>
      <c r="T625"/>
      <c r="U625"/>
      <c r="V625"/>
      <c r="W625"/>
      <c r="X625" s="66"/>
      <c r="Y625" s="4"/>
      <c r="Z625" s="4"/>
      <c r="AA625" s="4"/>
      <c r="AB625" s="4"/>
      <c r="AC625" s="4"/>
      <c r="AD625" s="4"/>
      <c r="AE625" s="4"/>
      <c r="AF625" s="4"/>
      <c r="AG625"/>
      <c r="AO625"/>
      <c r="AP625"/>
      <c r="AQ625"/>
      <c r="AR625"/>
      <c r="AS625"/>
      <c r="AT625"/>
      <c r="AU625"/>
      <c r="AV625"/>
      <c r="AW625"/>
      <c r="AX625"/>
      <c r="AY625"/>
      <c r="AZ625" s="95"/>
      <c r="BA625" s="95"/>
      <c r="BB625" s="94"/>
      <c r="BC625"/>
      <c r="BD625"/>
      <c r="BE625"/>
      <c r="BF625" s="152"/>
      <c r="BG625" s="152"/>
    </row>
    <row r="626" spans="1:59" s="90" customFormat="1" ht="14.25" hidden="1" customHeight="1" x14ac:dyDescent="0.2">
      <c r="A626" s="127"/>
      <c r="B626"/>
      <c r="C626" s="134"/>
      <c r="D626"/>
      <c r="E626"/>
      <c r="F626"/>
      <c r="G626"/>
      <c r="H626"/>
      <c r="I626"/>
      <c r="J626"/>
      <c r="K626"/>
      <c r="L626"/>
      <c r="M626"/>
      <c r="N626"/>
      <c r="O626"/>
      <c r="P626"/>
      <c r="Q626"/>
      <c r="R626"/>
      <c r="S626"/>
      <c r="T626"/>
      <c r="U626"/>
      <c r="V626"/>
      <c r="W626"/>
      <c r="X626" s="66"/>
      <c r="Y626" s="4"/>
      <c r="Z626" s="4"/>
      <c r="AA626" s="4"/>
      <c r="AB626" s="4"/>
      <c r="AC626" s="4"/>
      <c r="AD626" s="4"/>
      <c r="AE626" s="4"/>
      <c r="AF626" s="4"/>
      <c r="AG626"/>
      <c r="AO626"/>
      <c r="AP626"/>
      <c r="AQ626"/>
      <c r="AR626"/>
      <c r="AS626"/>
      <c r="AT626"/>
      <c r="AU626"/>
      <c r="AV626"/>
      <c r="AW626"/>
      <c r="AX626"/>
      <c r="AY626"/>
      <c r="AZ626" s="95"/>
      <c r="BA626" s="95"/>
      <c r="BB626" s="94"/>
      <c r="BC626"/>
      <c r="BD626"/>
      <c r="BE626"/>
      <c r="BF626" s="152"/>
      <c r="BG626" s="152"/>
    </row>
    <row r="627" spans="1:59" s="90" customFormat="1" ht="14.25" hidden="1" customHeight="1" x14ac:dyDescent="0.2">
      <c r="A627" s="127"/>
      <c r="B627"/>
      <c r="C627" s="134"/>
      <c r="D627"/>
      <c r="E627"/>
      <c r="F627"/>
      <c r="G627"/>
      <c r="H627"/>
      <c r="I627"/>
      <c r="J627"/>
      <c r="K627"/>
      <c r="L627"/>
      <c r="M627"/>
      <c r="N627"/>
      <c r="O627"/>
      <c r="P627"/>
      <c r="Q627"/>
      <c r="R627"/>
      <c r="S627"/>
      <c r="T627"/>
      <c r="U627"/>
      <c r="V627"/>
      <c r="W627"/>
      <c r="X627" s="66"/>
      <c r="Y627" s="4"/>
      <c r="Z627" s="4"/>
      <c r="AA627" s="4"/>
      <c r="AB627" s="4"/>
      <c r="AC627" s="4"/>
      <c r="AD627" s="4"/>
      <c r="AE627" s="4"/>
      <c r="AF627" s="4"/>
      <c r="AG627"/>
      <c r="AO627"/>
      <c r="AP627"/>
      <c r="AQ627"/>
      <c r="AR627"/>
      <c r="AS627"/>
      <c r="AT627"/>
      <c r="AU627"/>
      <c r="AV627"/>
      <c r="AW627"/>
      <c r="AX627"/>
      <c r="AY627"/>
      <c r="AZ627" s="95"/>
      <c r="BA627" s="95"/>
      <c r="BB627" s="94"/>
      <c r="BC627"/>
      <c r="BD627"/>
      <c r="BE627"/>
      <c r="BF627" s="152"/>
      <c r="BG627" s="152"/>
    </row>
    <row r="628" spans="1:59" s="90" customFormat="1" ht="14.25" hidden="1" customHeight="1" x14ac:dyDescent="0.2">
      <c r="A628" s="127"/>
      <c r="B628"/>
      <c r="C628" s="134"/>
      <c r="D628"/>
      <c r="E628"/>
      <c r="F628"/>
      <c r="G628"/>
      <c r="H628"/>
      <c r="I628"/>
      <c r="J628"/>
      <c r="K628"/>
      <c r="L628"/>
      <c r="M628"/>
      <c r="N628"/>
      <c r="O628"/>
      <c r="P628"/>
      <c r="Q628"/>
      <c r="R628"/>
      <c r="S628"/>
      <c r="T628"/>
      <c r="U628"/>
      <c r="V628"/>
      <c r="W628"/>
      <c r="X628" s="66"/>
      <c r="Y628" s="4"/>
      <c r="Z628" s="4"/>
      <c r="AA628" s="4"/>
      <c r="AB628" s="4"/>
      <c r="AC628" s="4"/>
      <c r="AD628" s="4"/>
      <c r="AE628" s="4"/>
      <c r="AF628" s="4"/>
      <c r="AG628"/>
      <c r="AO628"/>
      <c r="AP628"/>
      <c r="AQ628"/>
      <c r="AR628"/>
      <c r="AS628"/>
      <c r="AT628"/>
      <c r="AU628"/>
      <c r="AV628"/>
      <c r="AW628"/>
      <c r="AX628"/>
      <c r="AY628"/>
      <c r="AZ628" s="95"/>
      <c r="BA628" s="95"/>
      <c r="BB628" s="94"/>
      <c r="BC628"/>
      <c r="BD628"/>
      <c r="BE628"/>
      <c r="BF628" s="152"/>
      <c r="BG628" s="152"/>
    </row>
    <row r="629" spans="1:59" s="90" customFormat="1" ht="14.25" hidden="1" customHeight="1" x14ac:dyDescent="0.2">
      <c r="A629" s="127"/>
      <c r="B629"/>
      <c r="C629" s="134"/>
      <c r="D629"/>
      <c r="E629"/>
      <c r="F629"/>
      <c r="G629"/>
      <c r="H629"/>
      <c r="I629"/>
      <c r="J629"/>
      <c r="K629"/>
      <c r="L629"/>
      <c r="M629"/>
      <c r="N629"/>
      <c r="O629"/>
      <c r="P629"/>
      <c r="Q629"/>
      <c r="R629"/>
      <c r="S629"/>
      <c r="T629"/>
      <c r="U629"/>
      <c r="V629"/>
      <c r="W629"/>
      <c r="X629" s="66"/>
      <c r="Y629" s="4"/>
      <c r="Z629" s="4"/>
      <c r="AA629" s="4"/>
      <c r="AB629" s="4"/>
      <c r="AC629" s="4"/>
      <c r="AD629" s="4"/>
      <c r="AE629" s="4"/>
      <c r="AF629" s="4"/>
      <c r="AG629"/>
      <c r="AO629"/>
      <c r="AP629"/>
      <c r="AQ629"/>
      <c r="AR629"/>
      <c r="AS629"/>
      <c r="AT629"/>
      <c r="AU629"/>
      <c r="AV629"/>
      <c r="AW629"/>
      <c r="AX629"/>
      <c r="AY629"/>
      <c r="AZ629" s="95"/>
      <c r="BA629" s="95"/>
      <c r="BB629" s="94"/>
      <c r="BC629"/>
      <c r="BD629"/>
      <c r="BE629"/>
      <c r="BF629" s="152"/>
      <c r="BG629" s="152"/>
    </row>
    <row r="630" spans="1:59" s="90" customFormat="1" ht="14.25" hidden="1" customHeight="1" x14ac:dyDescent="0.2">
      <c r="A630" s="127"/>
      <c r="B630"/>
      <c r="C630" s="134"/>
      <c r="D630"/>
      <c r="E630"/>
      <c r="F630"/>
      <c r="G630"/>
      <c r="H630"/>
      <c r="I630"/>
      <c r="J630"/>
      <c r="K630"/>
      <c r="L630"/>
      <c r="M630"/>
      <c r="N630"/>
      <c r="O630"/>
      <c r="P630"/>
      <c r="Q630"/>
      <c r="R630"/>
      <c r="S630"/>
      <c r="T630"/>
      <c r="U630"/>
      <c r="V630"/>
      <c r="W630"/>
      <c r="X630" s="66"/>
      <c r="Y630" s="4"/>
      <c r="Z630" s="4"/>
      <c r="AA630" s="4"/>
      <c r="AB630" s="4"/>
      <c r="AC630" s="4"/>
      <c r="AD630" s="4"/>
      <c r="AE630" s="4"/>
      <c r="AF630" s="4"/>
      <c r="AG630"/>
      <c r="AO630"/>
      <c r="AP630"/>
      <c r="AQ630"/>
      <c r="AR630"/>
      <c r="AS630"/>
      <c r="AT630"/>
      <c r="AU630"/>
      <c r="AV630"/>
      <c r="AW630"/>
      <c r="AX630"/>
      <c r="AY630"/>
      <c r="AZ630" s="95"/>
      <c r="BA630" s="95"/>
      <c r="BB630" s="94"/>
      <c r="BC630"/>
      <c r="BD630"/>
      <c r="BE630"/>
      <c r="BF630" s="152"/>
      <c r="BG630" s="152"/>
    </row>
    <row r="631" spans="1:59" s="90" customFormat="1" ht="14.25" hidden="1" customHeight="1" x14ac:dyDescent="0.2">
      <c r="A631" s="127"/>
      <c r="B631"/>
      <c r="C631" s="134"/>
      <c r="D631"/>
      <c r="E631"/>
      <c r="F631"/>
      <c r="G631"/>
      <c r="H631"/>
      <c r="I631"/>
      <c r="J631"/>
      <c r="K631"/>
      <c r="L631"/>
      <c r="M631"/>
      <c r="N631"/>
      <c r="O631"/>
      <c r="P631"/>
      <c r="Q631"/>
      <c r="R631"/>
      <c r="S631"/>
      <c r="T631"/>
      <c r="U631"/>
      <c r="V631"/>
      <c r="W631"/>
      <c r="X631" s="66"/>
      <c r="Y631" s="4"/>
      <c r="Z631" s="4"/>
      <c r="AA631" s="4"/>
      <c r="AB631" s="4"/>
      <c r="AC631" s="4"/>
      <c r="AD631" s="4"/>
      <c r="AE631" s="4"/>
      <c r="AF631" s="4"/>
      <c r="AG631"/>
      <c r="AO631"/>
      <c r="AP631"/>
      <c r="AQ631"/>
      <c r="AR631"/>
      <c r="AS631"/>
      <c r="AT631"/>
      <c r="AU631"/>
      <c r="AV631"/>
      <c r="AW631"/>
      <c r="AX631"/>
      <c r="AY631"/>
      <c r="AZ631" s="95"/>
      <c r="BA631" s="95"/>
      <c r="BB631" s="94"/>
      <c r="BC631"/>
      <c r="BD631"/>
      <c r="BE631"/>
      <c r="BF631" s="152"/>
      <c r="BG631" s="152"/>
    </row>
    <row r="632" spans="1:59" s="90" customFormat="1" ht="14.25" hidden="1" customHeight="1" x14ac:dyDescent="0.2">
      <c r="A632" s="127"/>
      <c r="B632"/>
      <c r="C632" s="134"/>
      <c r="D632"/>
      <c r="E632"/>
      <c r="F632"/>
      <c r="G632"/>
      <c r="H632"/>
      <c r="I632"/>
      <c r="J632"/>
      <c r="K632"/>
      <c r="L632"/>
      <c r="M632"/>
      <c r="N632"/>
      <c r="O632"/>
      <c r="P632"/>
      <c r="Q632"/>
      <c r="R632"/>
      <c r="S632"/>
      <c r="T632"/>
      <c r="U632"/>
      <c r="V632"/>
      <c r="W632"/>
      <c r="X632" s="66"/>
      <c r="Y632" s="4"/>
      <c r="Z632" s="4"/>
      <c r="AA632" s="4"/>
      <c r="AB632" s="4"/>
      <c r="AC632" s="4"/>
      <c r="AD632" s="4"/>
      <c r="AE632" s="4"/>
      <c r="AF632" s="4"/>
      <c r="AG632"/>
      <c r="AO632"/>
      <c r="AP632"/>
      <c r="AQ632"/>
      <c r="AR632"/>
      <c r="AS632"/>
      <c r="AT632"/>
      <c r="AU632"/>
      <c r="AV632"/>
      <c r="AW632"/>
      <c r="AX632"/>
      <c r="AY632"/>
      <c r="AZ632" s="95"/>
      <c r="BA632" s="95"/>
      <c r="BB632" s="94"/>
      <c r="BC632"/>
      <c r="BD632"/>
      <c r="BE632"/>
      <c r="BF632" s="152"/>
      <c r="BG632" s="152"/>
    </row>
    <row r="633" spans="1:59" s="90" customFormat="1" ht="14.25" hidden="1" customHeight="1" x14ac:dyDescent="0.2">
      <c r="A633" s="127"/>
      <c r="B633"/>
      <c r="C633" s="134"/>
      <c r="D633"/>
      <c r="E633"/>
      <c r="F633"/>
      <c r="G633"/>
      <c r="H633"/>
      <c r="I633"/>
      <c r="J633"/>
      <c r="K633"/>
      <c r="L633"/>
      <c r="M633"/>
      <c r="N633"/>
      <c r="O633"/>
      <c r="P633"/>
      <c r="Q633"/>
      <c r="R633"/>
      <c r="S633"/>
      <c r="T633"/>
      <c r="U633"/>
      <c r="V633"/>
      <c r="W633"/>
      <c r="X633" s="66"/>
      <c r="Y633" s="4"/>
      <c r="Z633" s="4"/>
      <c r="AA633" s="4"/>
      <c r="AB633" s="4"/>
      <c r="AC633" s="4"/>
      <c r="AD633" s="4"/>
      <c r="AE633" s="4"/>
      <c r="AF633" s="4"/>
      <c r="AG633"/>
      <c r="AO633"/>
      <c r="AP633"/>
      <c r="AQ633"/>
      <c r="AR633"/>
      <c r="AS633"/>
      <c r="AT633"/>
      <c r="AU633"/>
      <c r="AV633"/>
      <c r="AW633"/>
      <c r="AX633"/>
      <c r="AY633"/>
      <c r="AZ633" s="95"/>
      <c r="BA633" s="95"/>
      <c r="BB633" s="94"/>
      <c r="BC633"/>
      <c r="BD633"/>
      <c r="BE633"/>
      <c r="BF633" s="152"/>
      <c r="BG633" s="152"/>
    </row>
    <row r="634" spans="1:59" s="90" customFormat="1" ht="14.25" hidden="1" customHeight="1" x14ac:dyDescent="0.2">
      <c r="A634" s="127"/>
      <c r="B634"/>
      <c r="C634" s="134"/>
      <c r="D634"/>
      <c r="E634"/>
      <c r="F634"/>
      <c r="G634"/>
      <c r="H634"/>
      <c r="I634"/>
      <c r="J634"/>
      <c r="K634"/>
      <c r="L634"/>
      <c r="M634"/>
      <c r="N634"/>
      <c r="O634"/>
      <c r="P634"/>
      <c r="Q634"/>
      <c r="R634"/>
      <c r="S634"/>
      <c r="T634"/>
      <c r="U634"/>
      <c r="V634"/>
      <c r="W634"/>
      <c r="X634" s="66"/>
      <c r="Y634" s="4"/>
      <c r="Z634" s="4"/>
      <c r="AA634" s="4"/>
      <c r="AB634" s="4"/>
      <c r="AC634" s="4"/>
      <c r="AD634" s="4"/>
      <c r="AE634" s="4"/>
      <c r="AF634" s="4"/>
      <c r="AG634"/>
      <c r="AO634"/>
      <c r="AP634"/>
      <c r="AQ634"/>
      <c r="AR634"/>
      <c r="AS634"/>
      <c r="AT634"/>
      <c r="AU634"/>
      <c r="AV634"/>
      <c r="AW634"/>
      <c r="AX634"/>
      <c r="AY634"/>
      <c r="AZ634" s="95"/>
      <c r="BA634" s="95"/>
      <c r="BB634" s="94"/>
      <c r="BC634"/>
      <c r="BD634"/>
      <c r="BE634"/>
      <c r="BF634" s="152"/>
      <c r="BG634" s="152"/>
    </row>
    <row r="635" spans="1:59" s="90" customFormat="1" ht="14.25" hidden="1" customHeight="1" x14ac:dyDescent="0.2">
      <c r="A635" s="127"/>
      <c r="B635"/>
      <c r="C635" s="134"/>
      <c r="D635"/>
      <c r="E635"/>
      <c r="F635"/>
      <c r="G635"/>
      <c r="H635"/>
      <c r="I635"/>
      <c r="J635"/>
      <c r="K635"/>
      <c r="L635"/>
      <c r="M635"/>
      <c r="N635"/>
      <c r="O635"/>
      <c r="P635"/>
      <c r="Q635"/>
      <c r="R635"/>
      <c r="S635"/>
      <c r="T635"/>
      <c r="U635"/>
      <c r="V635"/>
      <c r="W635"/>
      <c r="X635" s="66"/>
      <c r="Y635" s="4"/>
      <c r="Z635" s="4"/>
      <c r="AA635" s="4"/>
      <c r="AB635" s="4"/>
      <c r="AC635" s="4"/>
      <c r="AD635" s="4"/>
      <c r="AE635" s="4"/>
      <c r="AF635" s="4"/>
      <c r="AG635"/>
      <c r="AO635"/>
      <c r="AP635"/>
      <c r="AQ635"/>
      <c r="AR635"/>
      <c r="AS635"/>
      <c r="AT635"/>
      <c r="AU635"/>
      <c r="AV635"/>
      <c r="AW635"/>
      <c r="AX635"/>
      <c r="AY635"/>
      <c r="AZ635" s="95"/>
      <c r="BA635" s="95"/>
      <c r="BB635" s="94"/>
      <c r="BC635"/>
      <c r="BD635"/>
      <c r="BE635"/>
      <c r="BF635" s="152"/>
      <c r="BG635" s="152"/>
    </row>
    <row r="636" spans="1:59" s="90" customFormat="1" ht="14.25" hidden="1" customHeight="1" x14ac:dyDescent="0.2">
      <c r="A636" s="127"/>
      <c r="B636"/>
      <c r="C636" s="134"/>
      <c r="D636"/>
      <c r="E636"/>
      <c r="F636"/>
      <c r="G636"/>
      <c r="H636"/>
      <c r="I636"/>
      <c r="J636"/>
      <c r="K636"/>
      <c r="L636"/>
      <c r="M636"/>
      <c r="N636"/>
      <c r="O636"/>
      <c r="P636"/>
      <c r="Q636"/>
      <c r="R636"/>
      <c r="S636"/>
      <c r="T636"/>
      <c r="U636"/>
      <c r="V636"/>
      <c r="W636"/>
      <c r="X636" s="66"/>
      <c r="Y636" s="4"/>
      <c r="Z636" s="4"/>
      <c r="AA636" s="4"/>
      <c r="AB636" s="4"/>
      <c r="AC636" s="4"/>
      <c r="AD636" s="4"/>
      <c r="AE636" s="4"/>
      <c r="AF636" s="4"/>
      <c r="AG636"/>
      <c r="AO636"/>
      <c r="AP636"/>
      <c r="AQ636"/>
      <c r="AR636"/>
      <c r="AS636"/>
      <c r="AT636"/>
      <c r="AU636"/>
      <c r="AV636"/>
      <c r="AW636"/>
      <c r="AX636"/>
      <c r="AY636"/>
      <c r="AZ636" s="95"/>
      <c r="BA636" s="95"/>
      <c r="BB636" s="94"/>
      <c r="BC636"/>
      <c r="BD636"/>
      <c r="BE636"/>
      <c r="BF636" s="152"/>
      <c r="BG636" s="152"/>
    </row>
    <row r="637" spans="1:59" s="90" customFormat="1" ht="14.25" hidden="1" customHeight="1" x14ac:dyDescent="0.2">
      <c r="A637" s="127"/>
      <c r="B637"/>
      <c r="C637" s="134"/>
      <c r="D637"/>
      <c r="E637"/>
      <c r="F637"/>
      <c r="G637"/>
      <c r="H637"/>
      <c r="I637"/>
      <c r="J637"/>
      <c r="K637"/>
      <c r="L637"/>
      <c r="M637"/>
      <c r="N637"/>
      <c r="O637"/>
      <c r="P637"/>
      <c r="Q637"/>
      <c r="R637"/>
      <c r="S637"/>
      <c r="T637"/>
      <c r="U637"/>
      <c r="V637"/>
      <c r="W637"/>
      <c r="X637" s="66"/>
      <c r="Y637" s="4"/>
      <c r="Z637" s="4"/>
      <c r="AA637" s="4"/>
      <c r="AB637" s="4"/>
      <c r="AC637" s="4"/>
      <c r="AD637" s="4"/>
      <c r="AE637" s="4"/>
      <c r="AF637" s="4"/>
      <c r="AG637"/>
      <c r="AO637"/>
      <c r="AP637"/>
      <c r="AQ637"/>
      <c r="AR637"/>
      <c r="AS637"/>
      <c r="AT637"/>
      <c r="AU637"/>
      <c r="AV637"/>
      <c r="AW637"/>
      <c r="AX637"/>
      <c r="AY637"/>
      <c r="AZ637" s="95"/>
      <c r="BA637" s="95"/>
      <c r="BB637" s="94"/>
      <c r="BC637"/>
      <c r="BD637"/>
      <c r="BE637"/>
      <c r="BF637" s="152"/>
      <c r="BG637" s="152"/>
    </row>
    <row r="638" spans="1:59" s="90" customFormat="1" ht="14.25" hidden="1" customHeight="1" x14ac:dyDescent="0.2">
      <c r="A638" s="127"/>
      <c r="B638"/>
      <c r="C638" s="134"/>
      <c r="D638"/>
      <c r="E638"/>
      <c r="F638"/>
      <c r="G638"/>
      <c r="H638"/>
      <c r="I638"/>
      <c r="J638"/>
      <c r="K638"/>
      <c r="L638"/>
      <c r="M638"/>
      <c r="N638"/>
      <c r="O638"/>
      <c r="P638"/>
      <c r="Q638"/>
      <c r="R638"/>
      <c r="S638"/>
      <c r="T638"/>
      <c r="U638"/>
      <c r="V638"/>
      <c r="W638"/>
      <c r="X638" s="66"/>
      <c r="Y638" s="4"/>
      <c r="Z638" s="4"/>
      <c r="AA638" s="4"/>
      <c r="AB638" s="4"/>
      <c r="AC638" s="4"/>
      <c r="AD638" s="4"/>
      <c r="AE638" s="4"/>
      <c r="AF638" s="4"/>
      <c r="AG638"/>
      <c r="AO638"/>
      <c r="AP638"/>
      <c r="AQ638"/>
      <c r="AR638"/>
      <c r="AS638"/>
      <c r="AT638"/>
      <c r="AU638"/>
      <c r="AV638"/>
      <c r="AW638"/>
      <c r="AX638"/>
      <c r="AY638"/>
      <c r="AZ638" s="95"/>
      <c r="BA638" s="95"/>
      <c r="BB638" s="94"/>
      <c r="BC638"/>
      <c r="BD638"/>
      <c r="BE638"/>
      <c r="BF638" s="152"/>
      <c r="BG638" s="152"/>
    </row>
    <row r="639" spans="1:59" s="90" customFormat="1" ht="14.25" hidden="1" customHeight="1" x14ac:dyDescent="0.2">
      <c r="A639" s="127"/>
      <c r="B639"/>
      <c r="C639" s="134"/>
      <c r="D639"/>
      <c r="E639"/>
      <c r="F639"/>
      <c r="G639"/>
      <c r="H639"/>
      <c r="I639"/>
      <c r="J639"/>
      <c r="K639"/>
      <c r="L639"/>
      <c r="M639"/>
      <c r="N639"/>
      <c r="O639"/>
      <c r="P639"/>
      <c r="Q639"/>
      <c r="R639"/>
      <c r="S639"/>
      <c r="T639"/>
      <c r="U639"/>
      <c r="V639"/>
      <c r="W639"/>
      <c r="X639" s="66"/>
      <c r="Y639" s="4"/>
      <c r="Z639" s="4"/>
      <c r="AA639" s="4"/>
      <c r="AB639" s="4"/>
      <c r="AC639" s="4"/>
      <c r="AD639" s="4"/>
      <c r="AE639" s="4"/>
      <c r="AF639" s="4"/>
      <c r="AG639"/>
      <c r="AO639"/>
      <c r="AP639"/>
      <c r="AQ639"/>
      <c r="AR639"/>
      <c r="AS639"/>
      <c r="AT639"/>
      <c r="AU639"/>
      <c r="AV639"/>
      <c r="AW639"/>
      <c r="AX639"/>
      <c r="AY639"/>
      <c r="AZ639" s="95"/>
      <c r="BA639" s="95"/>
      <c r="BB639" s="94"/>
      <c r="BC639"/>
      <c r="BD639"/>
      <c r="BE639"/>
      <c r="BF639" s="152"/>
      <c r="BG639" s="152"/>
    </row>
    <row r="640" spans="1:59" s="90" customFormat="1" ht="14.25" hidden="1" customHeight="1" x14ac:dyDescent="0.2">
      <c r="A640" s="127"/>
      <c r="B640"/>
      <c r="C640" s="134"/>
      <c r="D640"/>
      <c r="E640"/>
      <c r="F640"/>
      <c r="G640"/>
      <c r="H640"/>
      <c r="I640"/>
      <c r="J640"/>
      <c r="K640"/>
      <c r="L640"/>
      <c r="M640"/>
      <c r="N640"/>
      <c r="O640"/>
      <c r="P640"/>
      <c r="Q640"/>
      <c r="R640"/>
      <c r="S640"/>
      <c r="T640"/>
      <c r="U640"/>
      <c r="V640"/>
      <c r="W640"/>
      <c r="X640" s="66"/>
      <c r="Y640" s="4"/>
      <c r="Z640" s="4"/>
      <c r="AA640" s="4"/>
      <c r="AB640" s="4"/>
      <c r="AC640" s="4"/>
      <c r="AD640" s="4"/>
      <c r="AE640" s="4"/>
      <c r="AF640" s="4"/>
      <c r="AG640"/>
      <c r="AO640"/>
      <c r="AP640"/>
      <c r="AQ640"/>
      <c r="AR640"/>
      <c r="AS640"/>
      <c r="AT640"/>
      <c r="AU640"/>
      <c r="AV640"/>
      <c r="AW640"/>
      <c r="AX640"/>
      <c r="AY640"/>
      <c r="AZ640" s="95"/>
      <c r="BA640" s="95"/>
      <c r="BB640" s="94"/>
      <c r="BC640"/>
      <c r="BD640"/>
      <c r="BE640"/>
      <c r="BF640" s="152"/>
      <c r="BG640" s="152"/>
    </row>
    <row r="641" spans="1:59" s="90" customFormat="1" ht="14.25" hidden="1" customHeight="1" x14ac:dyDescent="0.2">
      <c r="A641" s="127"/>
      <c r="B641"/>
      <c r="C641" s="134"/>
      <c r="D641"/>
      <c r="E641"/>
      <c r="F641"/>
      <c r="G641"/>
      <c r="H641"/>
      <c r="I641"/>
      <c r="J641"/>
      <c r="K641"/>
      <c r="L641"/>
      <c r="M641"/>
      <c r="N641"/>
      <c r="O641"/>
      <c r="P641"/>
      <c r="Q641"/>
      <c r="R641"/>
      <c r="S641"/>
      <c r="T641"/>
      <c r="U641"/>
      <c r="V641"/>
      <c r="W641"/>
      <c r="X641" s="66"/>
      <c r="Y641" s="4"/>
      <c r="Z641" s="4"/>
      <c r="AA641" s="4"/>
      <c r="AB641" s="4"/>
      <c r="AC641" s="4"/>
      <c r="AD641" s="4"/>
      <c r="AE641" s="4"/>
      <c r="AF641" s="4"/>
      <c r="AG641"/>
      <c r="AO641"/>
      <c r="AP641"/>
      <c r="AQ641"/>
      <c r="AR641"/>
      <c r="AS641"/>
      <c r="AT641"/>
      <c r="AU641"/>
      <c r="AV641"/>
      <c r="AW641"/>
      <c r="AX641"/>
      <c r="AY641"/>
      <c r="AZ641" s="95"/>
      <c r="BA641" s="95"/>
      <c r="BB641" s="94"/>
      <c r="BC641"/>
      <c r="BD641"/>
      <c r="BE641"/>
      <c r="BF641" s="152"/>
      <c r="BG641" s="152"/>
    </row>
    <row r="642" spans="1:59" s="90" customFormat="1" ht="14.25" hidden="1" customHeight="1" x14ac:dyDescent="0.2">
      <c r="A642" s="127"/>
      <c r="B642"/>
      <c r="C642" s="134"/>
      <c r="D642"/>
      <c r="E642"/>
      <c r="F642"/>
      <c r="G642"/>
      <c r="H642"/>
      <c r="I642"/>
      <c r="J642"/>
      <c r="K642"/>
      <c r="L642"/>
      <c r="M642"/>
      <c r="N642"/>
      <c r="O642"/>
      <c r="P642"/>
      <c r="Q642"/>
      <c r="R642"/>
      <c r="S642"/>
      <c r="T642"/>
      <c r="U642"/>
      <c r="V642"/>
      <c r="W642"/>
      <c r="X642" s="66"/>
      <c r="Y642" s="4"/>
      <c r="Z642" s="4"/>
      <c r="AA642" s="4"/>
      <c r="AB642" s="4"/>
      <c r="AC642" s="4"/>
      <c r="AD642" s="4"/>
      <c r="AE642" s="4"/>
      <c r="AF642" s="4"/>
      <c r="AG642"/>
      <c r="AO642"/>
      <c r="AP642"/>
      <c r="AQ642"/>
      <c r="AR642"/>
      <c r="AS642"/>
      <c r="AT642"/>
      <c r="AU642"/>
      <c r="AV642"/>
      <c r="AW642"/>
      <c r="AX642"/>
      <c r="AY642"/>
      <c r="AZ642" s="95"/>
      <c r="BA642" s="95"/>
      <c r="BB642" s="94"/>
      <c r="BC642"/>
      <c r="BD642"/>
      <c r="BE642"/>
      <c r="BF642" s="152"/>
      <c r="BG642" s="152"/>
    </row>
    <row r="643" spans="1:59" s="90" customFormat="1" ht="14.25" hidden="1" customHeight="1" x14ac:dyDescent="0.2">
      <c r="A643" s="127"/>
      <c r="B643"/>
      <c r="C643" s="134"/>
      <c r="D643"/>
      <c r="E643"/>
      <c r="F643"/>
      <c r="G643"/>
      <c r="H643"/>
      <c r="I643"/>
      <c r="J643"/>
      <c r="K643"/>
      <c r="L643"/>
      <c r="M643"/>
      <c r="N643"/>
      <c r="O643"/>
      <c r="P643"/>
      <c r="Q643"/>
      <c r="R643"/>
      <c r="S643"/>
      <c r="T643"/>
      <c r="U643"/>
      <c r="V643"/>
      <c r="W643"/>
      <c r="X643" s="66"/>
      <c r="Y643" s="4"/>
      <c r="Z643" s="4"/>
      <c r="AA643" s="4"/>
      <c r="AB643" s="4"/>
      <c r="AC643" s="4"/>
      <c r="AD643" s="4"/>
      <c r="AE643" s="4"/>
      <c r="AF643" s="4"/>
      <c r="AG643"/>
      <c r="AO643"/>
      <c r="AP643"/>
      <c r="AQ643"/>
      <c r="AR643"/>
      <c r="AS643"/>
      <c r="AT643"/>
      <c r="AU643"/>
      <c r="AV643"/>
      <c r="AW643"/>
      <c r="AX643"/>
      <c r="AY643"/>
      <c r="AZ643" s="95"/>
      <c r="BA643" s="95"/>
      <c r="BB643" s="94"/>
      <c r="BC643"/>
      <c r="BD643"/>
      <c r="BE643"/>
      <c r="BF643" s="152"/>
      <c r="BG643" s="152"/>
    </row>
    <row r="644" spans="1:59" s="90" customFormat="1" ht="14.25" hidden="1" customHeight="1" x14ac:dyDescent="0.2">
      <c r="A644" s="127"/>
      <c r="B644"/>
      <c r="C644" s="134"/>
      <c r="D644"/>
      <c r="E644"/>
      <c r="F644"/>
      <c r="G644"/>
      <c r="H644"/>
      <c r="I644"/>
      <c r="J644"/>
      <c r="K644"/>
      <c r="L644"/>
      <c r="M644"/>
      <c r="N644"/>
      <c r="O644"/>
      <c r="P644"/>
      <c r="Q644"/>
      <c r="R644"/>
      <c r="S644"/>
      <c r="T644"/>
      <c r="U644"/>
      <c r="V644"/>
      <c r="W644"/>
      <c r="X644" s="66"/>
      <c r="Y644" s="4"/>
      <c r="Z644" s="4"/>
      <c r="AA644" s="4"/>
      <c r="AB644" s="4"/>
      <c r="AC644" s="4"/>
      <c r="AD644" s="4"/>
      <c r="AE644" s="4"/>
      <c r="AF644" s="4"/>
      <c r="AG644"/>
      <c r="AO644"/>
      <c r="AP644"/>
      <c r="AQ644"/>
      <c r="AR644"/>
      <c r="AS644"/>
      <c r="AT644"/>
      <c r="AU644"/>
      <c r="AV644"/>
      <c r="AW644"/>
      <c r="AX644"/>
      <c r="AY644"/>
      <c r="AZ644" s="95"/>
      <c r="BA644" s="95"/>
      <c r="BB644" s="94"/>
      <c r="BC644"/>
      <c r="BD644"/>
      <c r="BE644"/>
      <c r="BF644" s="152"/>
      <c r="BG644" s="152"/>
    </row>
    <row r="645" spans="1:59" s="90" customFormat="1" ht="14.25" hidden="1" customHeight="1" x14ac:dyDescent="0.2">
      <c r="A645" s="127"/>
      <c r="B645"/>
      <c r="C645" s="134"/>
      <c r="D645"/>
      <c r="E645"/>
      <c r="F645"/>
      <c r="G645"/>
      <c r="H645"/>
      <c r="I645"/>
      <c r="J645"/>
      <c r="K645"/>
      <c r="L645"/>
      <c r="M645"/>
      <c r="N645"/>
      <c r="O645"/>
      <c r="P645"/>
      <c r="Q645"/>
      <c r="R645"/>
      <c r="S645"/>
      <c r="T645"/>
      <c r="U645"/>
      <c r="V645"/>
      <c r="W645"/>
      <c r="X645" s="66"/>
      <c r="Y645" s="4"/>
      <c r="Z645" s="4"/>
      <c r="AA645" s="4"/>
      <c r="AB645" s="4"/>
      <c r="AC645" s="4"/>
      <c r="AD645" s="4"/>
      <c r="AE645" s="4"/>
      <c r="AF645" s="4"/>
      <c r="AG645"/>
      <c r="AO645"/>
      <c r="AP645"/>
      <c r="AQ645"/>
      <c r="AR645"/>
      <c r="AS645"/>
      <c r="AT645"/>
      <c r="AU645"/>
      <c r="AV645"/>
      <c r="AW645"/>
      <c r="AX645"/>
      <c r="AY645"/>
      <c r="AZ645" s="95"/>
      <c r="BA645" s="95"/>
      <c r="BB645" s="94"/>
      <c r="BC645"/>
      <c r="BD645"/>
      <c r="BE645"/>
      <c r="BF645" s="152"/>
      <c r="BG645" s="152"/>
    </row>
    <row r="646" spans="1:59" s="90" customFormat="1" ht="14.25" hidden="1" customHeight="1" x14ac:dyDescent="0.2">
      <c r="A646" s="127"/>
      <c r="B646"/>
      <c r="C646" s="134"/>
      <c r="D646"/>
      <c r="E646"/>
      <c r="F646"/>
      <c r="G646"/>
      <c r="H646"/>
      <c r="I646"/>
      <c r="J646"/>
      <c r="K646"/>
      <c r="L646"/>
      <c r="M646"/>
      <c r="N646"/>
      <c r="O646"/>
      <c r="P646"/>
      <c r="Q646"/>
      <c r="R646"/>
      <c r="S646"/>
      <c r="T646"/>
      <c r="U646"/>
      <c r="V646"/>
      <c r="W646"/>
      <c r="X646" s="66"/>
      <c r="Y646" s="4"/>
      <c r="Z646" s="4"/>
      <c r="AA646" s="4"/>
      <c r="AB646" s="4"/>
      <c r="AC646" s="4"/>
      <c r="AD646" s="4"/>
      <c r="AE646" s="4"/>
      <c r="AF646" s="4"/>
      <c r="AG646"/>
      <c r="AO646"/>
      <c r="AP646"/>
      <c r="AQ646"/>
      <c r="AR646"/>
      <c r="AS646"/>
      <c r="AT646"/>
      <c r="AU646"/>
      <c r="AV646"/>
      <c r="AW646"/>
      <c r="AX646"/>
      <c r="AY646"/>
      <c r="AZ646" s="95"/>
      <c r="BA646" s="95"/>
      <c r="BB646" s="94"/>
      <c r="BC646"/>
      <c r="BD646"/>
      <c r="BE646"/>
      <c r="BF646" s="152"/>
      <c r="BG646" s="152"/>
    </row>
    <row r="647" spans="1:59" s="90" customFormat="1" ht="14.25" hidden="1" customHeight="1" x14ac:dyDescent="0.2">
      <c r="A647" s="127"/>
      <c r="B647"/>
      <c r="C647" s="134"/>
      <c r="D647"/>
      <c r="E647"/>
      <c r="F647"/>
      <c r="G647"/>
      <c r="H647"/>
      <c r="I647"/>
      <c r="J647"/>
      <c r="K647"/>
      <c r="L647"/>
      <c r="M647"/>
      <c r="N647"/>
      <c r="O647"/>
      <c r="P647"/>
      <c r="Q647"/>
      <c r="R647"/>
      <c r="S647"/>
      <c r="T647"/>
      <c r="U647"/>
      <c r="V647"/>
      <c r="W647"/>
      <c r="X647" s="66"/>
      <c r="Y647" s="4"/>
      <c r="Z647" s="4"/>
      <c r="AA647" s="4"/>
      <c r="AB647" s="4"/>
      <c r="AC647" s="4"/>
      <c r="AD647" s="4"/>
      <c r="AE647" s="4"/>
      <c r="AF647" s="4"/>
      <c r="AG647"/>
      <c r="AO647"/>
      <c r="AP647"/>
      <c r="AQ647"/>
      <c r="AR647"/>
      <c r="AS647"/>
      <c r="AT647"/>
      <c r="AU647"/>
      <c r="AV647"/>
      <c r="AW647"/>
      <c r="AX647"/>
      <c r="AY647"/>
      <c r="AZ647" s="95"/>
      <c r="BA647" s="95"/>
      <c r="BB647" s="94"/>
      <c r="BC647"/>
      <c r="BD647"/>
      <c r="BE647"/>
      <c r="BF647" s="152"/>
      <c r="BG647" s="152"/>
    </row>
    <row r="648" spans="1:59" s="90" customFormat="1" ht="14.25" hidden="1" customHeight="1" x14ac:dyDescent="0.2">
      <c r="A648" s="127"/>
      <c r="B648"/>
      <c r="C648" s="134"/>
      <c r="D648"/>
      <c r="E648"/>
      <c r="F648"/>
      <c r="G648"/>
      <c r="H648"/>
      <c r="I648"/>
      <c r="J648"/>
      <c r="K648"/>
      <c r="L648"/>
      <c r="M648"/>
      <c r="N648"/>
      <c r="O648"/>
      <c r="P648"/>
      <c r="Q648"/>
      <c r="R648"/>
      <c r="S648"/>
      <c r="T648"/>
      <c r="U648"/>
      <c r="V648"/>
      <c r="W648"/>
      <c r="X648" s="66"/>
      <c r="Y648" s="4"/>
      <c r="Z648" s="4"/>
      <c r="AA648" s="4"/>
      <c r="AB648" s="4"/>
      <c r="AC648" s="4"/>
      <c r="AD648" s="4"/>
      <c r="AE648" s="4"/>
      <c r="AF648" s="4"/>
      <c r="AG648"/>
      <c r="AO648"/>
      <c r="AP648"/>
      <c r="AQ648"/>
      <c r="AR648"/>
      <c r="AS648"/>
      <c r="AT648"/>
      <c r="AU648"/>
      <c r="AV648"/>
      <c r="AW648"/>
      <c r="AX648"/>
      <c r="AY648"/>
      <c r="AZ648" s="95"/>
      <c r="BA648" s="95"/>
      <c r="BB648" s="94"/>
      <c r="BC648"/>
      <c r="BD648"/>
      <c r="BE648"/>
      <c r="BF648" s="152"/>
      <c r="BG648" s="152"/>
    </row>
    <row r="649" spans="1:59" s="90" customFormat="1" ht="14.25" hidden="1" customHeight="1" x14ac:dyDescent="0.2">
      <c r="A649" s="127"/>
      <c r="B649"/>
      <c r="C649" s="134"/>
      <c r="D649"/>
      <c r="E649"/>
      <c r="F649"/>
      <c r="G649"/>
      <c r="H649"/>
      <c r="I649"/>
      <c r="J649"/>
      <c r="K649"/>
      <c r="L649"/>
      <c r="M649"/>
      <c r="N649"/>
      <c r="O649"/>
      <c r="P649"/>
      <c r="Q649"/>
      <c r="R649"/>
      <c r="S649"/>
      <c r="T649"/>
      <c r="U649"/>
      <c r="V649"/>
      <c r="W649"/>
      <c r="X649" s="66"/>
      <c r="Y649" s="4"/>
      <c r="Z649" s="4"/>
      <c r="AA649" s="4"/>
      <c r="AB649" s="4"/>
      <c r="AC649" s="4"/>
      <c r="AD649" s="4"/>
      <c r="AE649" s="4"/>
      <c r="AF649" s="4"/>
      <c r="AG649"/>
      <c r="AO649"/>
      <c r="AP649"/>
      <c r="AQ649"/>
      <c r="AR649"/>
      <c r="AS649"/>
      <c r="AT649"/>
      <c r="AU649"/>
      <c r="AV649"/>
      <c r="AW649"/>
      <c r="AX649"/>
      <c r="AY649"/>
      <c r="AZ649" s="95"/>
      <c r="BA649" s="95"/>
      <c r="BB649" s="94"/>
      <c r="BC649"/>
      <c r="BD649"/>
      <c r="BE649"/>
      <c r="BF649" s="152"/>
      <c r="BG649" s="152"/>
    </row>
    <row r="650" spans="1:59" s="90" customFormat="1" ht="14.25" hidden="1" customHeight="1" x14ac:dyDescent="0.2">
      <c r="A650" s="127"/>
      <c r="B650"/>
      <c r="C650" s="134"/>
      <c r="D650"/>
      <c r="E650"/>
      <c r="F650"/>
      <c r="G650"/>
      <c r="H650"/>
      <c r="I650"/>
      <c r="J650"/>
      <c r="K650"/>
      <c r="L650"/>
      <c r="M650"/>
      <c r="N650"/>
      <c r="O650"/>
      <c r="P650"/>
      <c r="Q650"/>
      <c r="R650"/>
      <c r="S650"/>
      <c r="T650"/>
      <c r="U650"/>
      <c r="V650"/>
      <c r="W650"/>
      <c r="X650" s="66"/>
      <c r="Y650" s="4"/>
      <c r="Z650" s="4"/>
      <c r="AA650" s="4"/>
      <c r="AB650" s="4"/>
      <c r="AC650" s="4"/>
      <c r="AD650" s="4"/>
      <c r="AE650" s="4"/>
      <c r="AF650" s="4"/>
      <c r="AG650"/>
      <c r="AO650"/>
      <c r="AP650"/>
      <c r="AQ650"/>
      <c r="AR650"/>
      <c r="AS650"/>
      <c r="AT650"/>
      <c r="AU650"/>
      <c r="AV650"/>
      <c r="AW650"/>
      <c r="AX650"/>
      <c r="AY650"/>
      <c r="AZ650" s="95"/>
      <c r="BA650" s="95"/>
      <c r="BB650" s="94"/>
      <c r="BC650"/>
      <c r="BD650"/>
      <c r="BE650"/>
      <c r="BF650" s="152"/>
      <c r="BG650" s="152"/>
    </row>
    <row r="651" spans="1:59" s="90" customFormat="1" ht="14.25" hidden="1" customHeight="1" x14ac:dyDescent="0.2">
      <c r="A651" s="127"/>
      <c r="B651"/>
      <c r="C651" s="134"/>
      <c r="D651"/>
      <c r="E651"/>
      <c r="F651"/>
      <c r="G651"/>
      <c r="H651"/>
      <c r="I651"/>
      <c r="J651"/>
      <c r="K651"/>
      <c r="L651"/>
      <c r="M651"/>
      <c r="N651"/>
      <c r="O651"/>
      <c r="P651"/>
      <c r="Q651"/>
      <c r="R651"/>
      <c r="S651"/>
      <c r="T651"/>
      <c r="U651"/>
      <c r="V651"/>
      <c r="W651"/>
      <c r="X651" s="66"/>
      <c r="Y651" s="4"/>
      <c r="Z651" s="4"/>
      <c r="AA651" s="4"/>
      <c r="AB651" s="4"/>
      <c r="AC651" s="4"/>
      <c r="AD651" s="4"/>
      <c r="AE651" s="4"/>
      <c r="AF651" s="4"/>
      <c r="AG651"/>
      <c r="AO651"/>
      <c r="AP651"/>
      <c r="AQ651"/>
      <c r="AR651"/>
      <c r="AS651"/>
      <c r="AT651"/>
      <c r="AU651"/>
      <c r="AV651"/>
      <c r="AW651"/>
      <c r="AX651"/>
      <c r="AY651"/>
      <c r="AZ651" s="95"/>
      <c r="BA651" s="95"/>
      <c r="BB651" s="94"/>
      <c r="BC651"/>
      <c r="BD651"/>
      <c r="BE651"/>
      <c r="BF651" s="152"/>
      <c r="BG651" s="152"/>
    </row>
    <row r="652" spans="1:59" s="90" customFormat="1" ht="14.25" hidden="1" customHeight="1" x14ac:dyDescent="0.2">
      <c r="A652" s="127"/>
      <c r="B652"/>
      <c r="C652" s="134"/>
      <c r="D652"/>
      <c r="E652"/>
      <c r="F652"/>
      <c r="G652"/>
      <c r="H652"/>
      <c r="I652"/>
      <c r="J652"/>
      <c r="K652"/>
      <c r="L652"/>
      <c r="M652"/>
      <c r="N652"/>
      <c r="O652"/>
      <c r="P652"/>
      <c r="Q652"/>
      <c r="R652"/>
      <c r="S652"/>
      <c r="T652"/>
      <c r="U652"/>
      <c r="V652"/>
      <c r="W652"/>
      <c r="X652" s="66"/>
      <c r="Y652" s="4"/>
      <c r="Z652" s="4"/>
      <c r="AA652" s="4"/>
      <c r="AB652" s="4"/>
      <c r="AC652" s="4"/>
      <c r="AD652" s="4"/>
      <c r="AE652" s="4"/>
      <c r="AF652" s="4"/>
      <c r="AG652"/>
      <c r="AO652"/>
      <c r="AP652"/>
      <c r="AQ652"/>
      <c r="AR652"/>
      <c r="AS652"/>
      <c r="AT652"/>
      <c r="AU652"/>
      <c r="AV652"/>
      <c r="AW652"/>
      <c r="AX652"/>
      <c r="AY652"/>
      <c r="AZ652" s="95"/>
      <c r="BA652" s="95"/>
      <c r="BB652" s="94"/>
      <c r="BC652"/>
      <c r="BD652"/>
      <c r="BE652"/>
      <c r="BF652" s="152"/>
      <c r="BG652" s="152"/>
    </row>
    <row r="653" spans="1:59" s="90" customFormat="1" ht="14.25" hidden="1" customHeight="1" x14ac:dyDescent="0.2">
      <c r="A653" s="127"/>
      <c r="B653"/>
      <c r="C653" s="134"/>
      <c r="D653"/>
      <c r="E653"/>
      <c r="F653"/>
      <c r="G653"/>
      <c r="H653"/>
      <c r="I653"/>
      <c r="J653"/>
      <c r="K653"/>
      <c r="L653"/>
      <c r="M653"/>
      <c r="N653"/>
      <c r="O653"/>
      <c r="P653"/>
      <c r="Q653"/>
      <c r="R653"/>
      <c r="S653"/>
      <c r="T653"/>
      <c r="U653"/>
      <c r="V653"/>
      <c r="W653"/>
      <c r="X653" s="66"/>
      <c r="Y653" s="4"/>
      <c r="Z653" s="4"/>
      <c r="AA653" s="4"/>
      <c r="AB653" s="4"/>
      <c r="AC653" s="4"/>
      <c r="AD653" s="4"/>
      <c r="AE653" s="4"/>
      <c r="AF653" s="4"/>
      <c r="AG653"/>
      <c r="AO653"/>
      <c r="AP653"/>
      <c r="AQ653"/>
      <c r="AR653"/>
      <c r="AS653"/>
      <c r="AT653"/>
      <c r="AU653"/>
      <c r="AV653"/>
      <c r="AW653"/>
      <c r="AX653"/>
      <c r="AY653"/>
      <c r="AZ653" s="95"/>
      <c r="BA653" s="95"/>
      <c r="BB653" s="94"/>
      <c r="BC653"/>
      <c r="BD653"/>
      <c r="BE653"/>
      <c r="BF653" s="152"/>
      <c r="BG653" s="152"/>
    </row>
    <row r="654" spans="1:59" s="90" customFormat="1" ht="14.25" hidden="1" customHeight="1" x14ac:dyDescent="0.2">
      <c r="A654" s="127"/>
      <c r="B654"/>
      <c r="C654" s="134"/>
      <c r="D654"/>
      <c r="E654"/>
      <c r="F654"/>
      <c r="G654"/>
      <c r="H654"/>
      <c r="I654"/>
      <c r="J654"/>
      <c r="K654"/>
      <c r="L654"/>
      <c r="M654"/>
      <c r="N654"/>
      <c r="O654"/>
      <c r="P654"/>
      <c r="Q654"/>
      <c r="R654"/>
      <c r="S654"/>
      <c r="T654"/>
      <c r="U654"/>
      <c r="V654"/>
      <c r="W654"/>
      <c r="X654" s="66"/>
      <c r="Y654" s="4"/>
      <c r="Z654" s="4"/>
      <c r="AA654" s="4"/>
      <c r="AB654" s="4"/>
      <c r="AC654" s="4"/>
      <c r="AD654" s="4"/>
      <c r="AE654" s="4"/>
      <c r="AF654" s="4"/>
      <c r="AG654"/>
      <c r="AO654"/>
      <c r="AP654"/>
      <c r="AQ654"/>
      <c r="AR654"/>
      <c r="AS654"/>
      <c r="AT654"/>
      <c r="AU654"/>
      <c r="AV654"/>
      <c r="AW654"/>
      <c r="AX654"/>
      <c r="AY654"/>
      <c r="AZ654" s="95"/>
      <c r="BA654" s="95"/>
      <c r="BB654" s="94"/>
      <c r="BC654"/>
      <c r="BD654"/>
      <c r="BE654"/>
      <c r="BF654" s="152"/>
      <c r="BG654" s="152"/>
    </row>
    <row r="655" spans="1:59" s="90" customFormat="1" ht="14.25" hidden="1" customHeight="1" x14ac:dyDescent="0.2">
      <c r="A655" s="127"/>
      <c r="B655"/>
      <c r="C655" s="134"/>
      <c r="D655"/>
      <c r="E655"/>
      <c r="F655"/>
      <c r="G655"/>
      <c r="H655"/>
      <c r="I655"/>
      <c r="J655"/>
      <c r="K655"/>
      <c r="L655"/>
      <c r="M655"/>
      <c r="N655"/>
      <c r="O655"/>
      <c r="P655"/>
      <c r="Q655"/>
      <c r="R655"/>
      <c r="S655"/>
      <c r="T655"/>
      <c r="U655"/>
      <c r="V655"/>
      <c r="W655"/>
      <c r="X655" s="66"/>
      <c r="Y655" s="4"/>
      <c r="Z655" s="4"/>
      <c r="AA655" s="4"/>
      <c r="AB655" s="4"/>
      <c r="AC655" s="4"/>
      <c r="AD655" s="4"/>
      <c r="AE655" s="4"/>
      <c r="AF655" s="4"/>
      <c r="AG655"/>
      <c r="AO655"/>
      <c r="AP655"/>
      <c r="AQ655"/>
      <c r="AR655"/>
      <c r="AS655"/>
      <c r="AT655"/>
      <c r="AU655"/>
      <c r="AV655"/>
      <c r="AW655"/>
      <c r="AX655"/>
      <c r="AY655"/>
      <c r="AZ655" s="95"/>
      <c r="BA655" s="95"/>
      <c r="BB655" s="94"/>
      <c r="BC655"/>
      <c r="BD655"/>
      <c r="BE655"/>
      <c r="BF655" s="152"/>
      <c r="BG655" s="152"/>
    </row>
    <row r="656" spans="1:59" s="90" customFormat="1" ht="14.25" hidden="1" customHeight="1" x14ac:dyDescent="0.2">
      <c r="A656" s="127"/>
      <c r="B656"/>
      <c r="C656" s="134"/>
      <c r="D656"/>
      <c r="E656"/>
      <c r="F656"/>
      <c r="G656"/>
      <c r="H656"/>
      <c r="I656"/>
      <c r="J656"/>
      <c r="K656"/>
      <c r="L656"/>
      <c r="M656"/>
      <c r="N656"/>
      <c r="O656"/>
      <c r="P656"/>
      <c r="Q656"/>
      <c r="R656"/>
      <c r="S656"/>
      <c r="T656"/>
      <c r="U656"/>
      <c r="V656"/>
      <c r="W656"/>
      <c r="X656" s="66"/>
      <c r="Y656" s="4"/>
      <c r="Z656" s="4"/>
      <c r="AA656" s="4"/>
      <c r="AB656" s="4"/>
      <c r="AC656" s="4"/>
      <c r="AD656" s="4"/>
      <c r="AE656" s="4"/>
      <c r="AF656" s="4"/>
      <c r="AG656"/>
      <c r="AO656"/>
      <c r="AP656"/>
      <c r="AQ656"/>
      <c r="AR656"/>
      <c r="AS656"/>
      <c r="AT656"/>
      <c r="AU656"/>
      <c r="AV656"/>
      <c r="AW656"/>
      <c r="AX656"/>
      <c r="AY656"/>
      <c r="AZ656" s="95"/>
      <c r="BA656" s="95"/>
      <c r="BB656" s="94"/>
      <c r="BC656"/>
      <c r="BD656"/>
      <c r="BE656"/>
      <c r="BF656" s="152"/>
      <c r="BG656" s="152"/>
    </row>
    <row r="657" spans="1:59" s="90" customFormat="1" ht="14.25" hidden="1" customHeight="1" x14ac:dyDescent="0.2">
      <c r="A657" s="127"/>
      <c r="B657"/>
      <c r="C657" s="134"/>
      <c r="D657"/>
      <c r="E657"/>
      <c r="F657"/>
      <c r="G657"/>
      <c r="H657"/>
      <c r="I657"/>
      <c r="J657"/>
      <c r="K657"/>
      <c r="L657"/>
      <c r="M657"/>
      <c r="N657"/>
      <c r="O657"/>
      <c r="P657"/>
      <c r="Q657"/>
      <c r="R657"/>
      <c r="S657"/>
      <c r="T657"/>
      <c r="U657"/>
      <c r="V657"/>
      <c r="W657"/>
      <c r="X657" s="66"/>
      <c r="Y657" s="4"/>
      <c r="Z657" s="4"/>
      <c r="AA657" s="4"/>
      <c r="AB657" s="4"/>
      <c r="AC657" s="4"/>
      <c r="AD657" s="4"/>
      <c r="AE657" s="4"/>
      <c r="AF657" s="4"/>
      <c r="AG657"/>
      <c r="AO657"/>
      <c r="AP657"/>
      <c r="AQ657"/>
      <c r="AR657"/>
      <c r="AS657"/>
      <c r="AT657"/>
      <c r="AU657"/>
      <c r="AV657"/>
      <c r="AW657"/>
      <c r="AX657"/>
      <c r="AY657"/>
      <c r="AZ657" s="95"/>
      <c r="BA657" s="95"/>
      <c r="BB657" s="94"/>
      <c r="BC657"/>
      <c r="BD657"/>
      <c r="BE657"/>
      <c r="BF657" s="152"/>
      <c r="BG657" s="152"/>
    </row>
    <row r="658" spans="1:59" s="90" customFormat="1" ht="14.25" hidden="1" customHeight="1" x14ac:dyDescent="0.2">
      <c r="A658" s="127"/>
      <c r="B658"/>
      <c r="C658" s="134"/>
      <c r="D658"/>
      <c r="E658"/>
      <c r="F658"/>
      <c r="G658"/>
      <c r="H658"/>
      <c r="I658"/>
      <c r="J658"/>
      <c r="K658"/>
      <c r="L658"/>
      <c r="M658"/>
      <c r="N658"/>
      <c r="O658"/>
      <c r="P658"/>
      <c r="Q658"/>
      <c r="R658"/>
      <c r="S658"/>
      <c r="T658"/>
      <c r="U658"/>
      <c r="V658"/>
      <c r="W658"/>
      <c r="X658" s="66"/>
      <c r="Y658" s="4"/>
      <c r="Z658" s="4"/>
      <c r="AA658" s="4"/>
      <c r="AB658" s="4"/>
      <c r="AC658" s="4"/>
      <c r="AD658" s="4"/>
      <c r="AE658" s="4"/>
      <c r="AF658" s="4"/>
      <c r="AG658"/>
      <c r="AO658"/>
      <c r="AP658"/>
      <c r="AQ658"/>
      <c r="AR658"/>
      <c r="AS658"/>
      <c r="AT658"/>
      <c r="AU658"/>
      <c r="AV658"/>
      <c r="AW658"/>
      <c r="AX658"/>
      <c r="AY658"/>
      <c r="AZ658" s="95"/>
      <c r="BA658" s="95"/>
      <c r="BB658" s="94"/>
      <c r="BC658"/>
      <c r="BD658"/>
      <c r="BE658"/>
      <c r="BF658" s="152"/>
      <c r="BG658" s="152"/>
    </row>
    <row r="659" spans="1:59" s="90" customFormat="1" ht="14.25" hidden="1" customHeight="1" x14ac:dyDescent="0.2">
      <c r="A659" s="127"/>
      <c r="B659"/>
      <c r="C659" s="134"/>
      <c r="D659"/>
      <c r="E659"/>
      <c r="F659"/>
      <c r="G659"/>
      <c r="H659"/>
      <c r="I659"/>
      <c r="J659"/>
      <c r="K659"/>
      <c r="L659"/>
      <c r="M659"/>
      <c r="N659"/>
      <c r="O659"/>
      <c r="P659"/>
      <c r="Q659"/>
      <c r="R659"/>
      <c r="S659"/>
      <c r="T659"/>
      <c r="U659"/>
      <c r="V659"/>
      <c r="W659"/>
      <c r="X659" s="66"/>
      <c r="Y659" s="4"/>
      <c r="Z659" s="4"/>
      <c r="AA659" s="4"/>
      <c r="AB659" s="4"/>
      <c r="AC659" s="4"/>
      <c r="AD659" s="4"/>
      <c r="AE659" s="4"/>
      <c r="AF659" s="4"/>
      <c r="AG659"/>
      <c r="AO659"/>
      <c r="AP659"/>
      <c r="AQ659"/>
      <c r="AR659"/>
      <c r="AS659"/>
      <c r="AT659"/>
      <c r="AU659"/>
      <c r="AV659"/>
      <c r="AW659"/>
      <c r="AX659"/>
      <c r="AY659"/>
      <c r="AZ659" s="95"/>
      <c r="BA659" s="95"/>
      <c r="BB659" s="94"/>
      <c r="BC659"/>
      <c r="BD659"/>
      <c r="BE659"/>
      <c r="BF659" s="152"/>
      <c r="BG659" s="152"/>
    </row>
    <row r="660" spans="1:59" s="90" customFormat="1" ht="14.25" hidden="1" customHeight="1" x14ac:dyDescent="0.2">
      <c r="A660" s="127"/>
      <c r="B660"/>
      <c r="C660" s="134"/>
      <c r="D660"/>
      <c r="E660"/>
      <c r="F660"/>
      <c r="G660"/>
      <c r="H660"/>
      <c r="I660"/>
      <c r="J660"/>
      <c r="K660"/>
      <c r="L660"/>
      <c r="M660"/>
      <c r="N660"/>
      <c r="O660"/>
      <c r="P660"/>
      <c r="Q660"/>
      <c r="R660"/>
      <c r="S660"/>
      <c r="T660"/>
      <c r="U660"/>
      <c r="V660"/>
      <c r="W660"/>
      <c r="X660" s="66"/>
      <c r="Y660" s="4"/>
      <c r="Z660" s="4"/>
      <c r="AA660" s="4"/>
      <c r="AB660" s="4"/>
      <c r="AC660" s="4"/>
      <c r="AD660" s="4"/>
      <c r="AE660" s="4"/>
      <c r="AF660" s="4"/>
      <c r="AG660"/>
      <c r="AO660"/>
      <c r="AP660"/>
      <c r="AQ660"/>
      <c r="AR660"/>
      <c r="AS660"/>
      <c r="AT660"/>
      <c r="AU660"/>
      <c r="AV660"/>
      <c r="AW660"/>
      <c r="AX660"/>
      <c r="AY660"/>
      <c r="AZ660" s="95"/>
      <c r="BA660" s="95"/>
      <c r="BB660" s="94"/>
      <c r="BC660"/>
      <c r="BD660"/>
      <c r="BE660"/>
      <c r="BF660" s="152"/>
      <c r="BG660" s="152"/>
    </row>
    <row r="661" spans="1:59" s="90" customFormat="1" ht="14.25" hidden="1" customHeight="1" x14ac:dyDescent="0.2">
      <c r="A661" s="127"/>
      <c r="B661"/>
      <c r="C661" s="134"/>
      <c r="D661"/>
      <c r="E661"/>
      <c r="F661"/>
      <c r="G661"/>
      <c r="H661"/>
      <c r="I661"/>
      <c r="J661"/>
      <c r="K661"/>
      <c r="L661"/>
      <c r="M661"/>
      <c r="N661"/>
      <c r="O661"/>
      <c r="P661"/>
      <c r="Q661"/>
      <c r="R661"/>
      <c r="S661"/>
      <c r="T661"/>
      <c r="U661"/>
      <c r="V661"/>
      <c r="W661"/>
      <c r="X661" s="66"/>
      <c r="Y661" s="4"/>
      <c r="Z661" s="4"/>
      <c r="AA661" s="4"/>
      <c r="AB661" s="4"/>
      <c r="AC661" s="4"/>
      <c r="AD661" s="4"/>
      <c r="AE661" s="4"/>
      <c r="AF661" s="4"/>
      <c r="AG661"/>
      <c r="AO661"/>
      <c r="AP661"/>
      <c r="AQ661"/>
      <c r="AR661"/>
      <c r="AS661"/>
      <c r="AT661"/>
      <c r="AU661"/>
      <c r="AV661"/>
      <c r="AW661"/>
      <c r="AX661"/>
      <c r="AY661"/>
      <c r="AZ661" s="95"/>
      <c r="BA661" s="95"/>
      <c r="BB661" s="94"/>
      <c r="BC661"/>
      <c r="BD661"/>
      <c r="BE661"/>
      <c r="BF661" s="152"/>
      <c r="BG661" s="152"/>
    </row>
    <row r="662" spans="1:59" s="90" customFormat="1" ht="14.25" hidden="1" customHeight="1" x14ac:dyDescent="0.2">
      <c r="A662" s="127"/>
      <c r="B662"/>
      <c r="C662" s="134"/>
      <c r="D662"/>
      <c r="E662"/>
      <c r="F662"/>
      <c r="G662"/>
      <c r="H662"/>
      <c r="I662"/>
      <c r="J662"/>
      <c r="K662"/>
      <c r="L662"/>
      <c r="M662"/>
      <c r="N662"/>
      <c r="O662"/>
      <c r="P662"/>
      <c r="Q662"/>
      <c r="R662"/>
      <c r="S662"/>
      <c r="T662"/>
      <c r="U662"/>
      <c r="V662"/>
      <c r="W662"/>
      <c r="X662" s="66"/>
      <c r="Y662" s="4"/>
      <c r="Z662" s="4"/>
      <c r="AA662" s="4"/>
      <c r="AB662" s="4"/>
      <c r="AC662" s="4"/>
      <c r="AD662" s="4"/>
      <c r="AE662" s="4"/>
      <c r="AF662" s="4"/>
      <c r="AG662"/>
      <c r="AO662"/>
      <c r="AP662"/>
      <c r="AQ662"/>
      <c r="AR662"/>
      <c r="AS662"/>
      <c r="AT662"/>
      <c r="AU662"/>
      <c r="AV662"/>
      <c r="AW662"/>
      <c r="AX662"/>
      <c r="AY662"/>
      <c r="AZ662" s="95"/>
      <c r="BA662" s="95"/>
      <c r="BB662" s="94"/>
      <c r="BC662"/>
      <c r="BD662"/>
      <c r="BE662"/>
      <c r="BF662" s="152"/>
      <c r="BG662" s="152"/>
    </row>
    <row r="663" spans="1:59" s="90" customFormat="1" ht="14.25" hidden="1" customHeight="1" x14ac:dyDescent="0.2">
      <c r="A663" s="127"/>
      <c r="B663"/>
      <c r="C663" s="134"/>
      <c r="D663"/>
      <c r="E663"/>
      <c r="F663"/>
      <c r="G663"/>
      <c r="H663"/>
      <c r="I663"/>
      <c r="J663"/>
      <c r="K663"/>
      <c r="L663"/>
      <c r="M663"/>
      <c r="N663"/>
      <c r="O663"/>
      <c r="P663"/>
      <c r="Q663"/>
      <c r="R663"/>
      <c r="S663"/>
      <c r="T663"/>
      <c r="U663"/>
      <c r="V663"/>
      <c r="W663"/>
      <c r="X663" s="66"/>
      <c r="Y663" s="4"/>
      <c r="Z663" s="4"/>
      <c r="AA663" s="4"/>
      <c r="AB663" s="4"/>
      <c r="AC663" s="4"/>
      <c r="AD663" s="4"/>
      <c r="AE663" s="4"/>
      <c r="AF663" s="4"/>
      <c r="AG663"/>
      <c r="AO663"/>
      <c r="AP663"/>
      <c r="AQ663"/>
      <c r="AR663"/>
      <c r="AS663"/>
      <c r="AT663"/>
      <c r="AU663"/>
      <c r="AV663"/>
      <c r="AW663"/>
      <c r="AX663"/>
      <c r="AY663"/>
      <c r="AZ663" s="95"/>
      <c r="BA663" s="95"/>
      <c r="BB663" s="94"/>
      <c r="BC663"/>
      <c r="BD663"/>
      <c r="BE663"/>
      <c r="BF663" s="152"/>
      <c r="BG663" s="152"/>
    </row>
    <row r="664" spans="1:59" s="90" customFormat="1" ht="14.25" hidden="1" customHeight="1" x14ac:dyDescent="0.2">
      <c r="A664" s="127"/>
      <c r="B664"/>
      <c r="C664" s="134"/>
      <c r="D664"/>
      <c r="E664"/>
      <c r="F664"/>
      <c r="G664"/>
      <c r="H664"/>
      <c r="I664"/>
      <c r="J664"/>
      <c r="K664"/>
      <c r="L664"/>
      <c r="M664"/>
      <c r="N664"/>
      <c r="O664"/>
      <c r="P664"/>
      <c r="Q664"/>
      <c r="R664"/>
      <c r="S664"/>
      <c r="T664"/>
      <c r="U664"/>
      <c r="V664"/>
      <c r="W664"/>
      <c r="X664" s="66"/>
      <c r="Y664" s="4"/>
      <c r="Z664" s="4"/>
      <c r="AA664" s="4"/>
      <c r="AB664" s="4"/>
      <c r="AC664" s="4"/>
      <c r="AD664" s="4"/>
      <c r="AE664" s="4"/>
      <c r="AF664" s="4"/>
      <c r="AG664"/>
      <c r="AO664"/>
      <c r="AP664"/>
      <c r="AQ664"/>
      <c r="AR664"/>
      <c r="AS664"/>
      <c r="AT664"/>
      <c r="AU664"/>
      <c r="AV664"/>
      <c r="AW664"/>
      <c r="AX664"/>
      <c r="AY664"/>
      <c r="AZ664" s="95"/>
      <c r="BA664" s="95"/>
      <c r="BB664" s="94"/>
      <c r="BC664"/>
      <c r="BD664"/>
      <c r="BE664"/>
      <c r="BF664" s="152"/>
      <c r="BG664" s="152"/>
    </row>
    <row r="665" spans="1:59" s="90" customFormat="1" ht="14.25" hidden="1" customHeight="1" x14ac:dyDescent="0.2">
      <c r="A665" s="127"/>
      <c r="B665"/>
      <c r="C665" s="134"/>
      <c r="D665"/>
      <c r="E665"/>
      <c r="F665"/>
      <c r="G665"/>
      <c r="H665"/>
      <c r="I665"/>
      <c r="J665"/>
      <c r="K665"/>
      <c r="L665"/>
      <c r="M665"/>
      <c r="N665"/>
      <c r="O665"/>
      <c r="P665"/>
      <c r="Q665"/>
      <c r="R665"/>
      <c r="S665"/>
      <c r="T665"/>
      <c r="U665"/>
      <c r="V665"/>
      <c r="W665"/>
      <c r="X665" s="66"/>
      <c r="Y665" s="4"/>
      <c r="Z665" s="4"/>
      <c r="AA665" s="4"/>
      <c r="AB665" s="4"/>
      <c r="AC665" s="4"/>
      <c r="AD665" s="4"/>
      <c r="AE665" s="4"/>
      <c r="AF665" s="4"/>
      <c r="AG665"/>
      <c r="AO665"/>
      <c r="AP665"/>
      <c r="AQ665"/>
      <c r="AR665"/>
      <c r="AS665"/>
      <c r="AT665"/>
      <c r="AU665"/>
      <c r="AV665"/>
      <c r="AW665"/>
      <c r="AX665"/>
      <c r="AY665"/>
      <c r="AZ665" s="95"/>
      <c r="BA665" s="95"/>
      <c r="BB665" s="94"/>
      <c r="BC665"/>
      <c r="BD665"/>
      <c r="BE665"/>
      <c r="BF665" s="152"/>
      <c r="BG665" s="152"/>
    </row>
    <row r="666" spans="1:59" s="90" customFormat="1" ht="14.25" hidden="1" customHeight="1" x14ac:dyDescent="0.2">
      <c r="A666" s="127"/>
      <c r="B666"/>
      <c r="C666" s="134"/>
      <c r="D666"/>
      <c r="E666"/>
      <c r="F666"/>
      <c r="G666"/>
      <c r="H666"/>
      <c r="I666"/>
      <c r="J666"/>
      <c r="K666"/>
      <c r="L666"/>
      <c r="M666"/>
      <c r="N666"/>
      <c r="O666"/>
      <c r="P666"/>
      <c r="Q666"/>
      <c r="R666"/>
      <c r="S666"/>
      <c r="T666"/>
      <c r="U666"/>
      <c r="V666"/>
      <c r="W666"/>
      <c r="X666" s="66"/>
      <c r="Y666" s="4"/>
      <c r="Z666" s="4"/>
      <c r="AA666" s="4"/>
      <c r="AB666" s="4"/>
      <c r="AC666" s="4"/>
      <c r="AD666" s="4"/>
      <c r="AE666" s="4"/>
      <c r="AF666" s="4"/>
      <c r="AG666"/>
      <c r="AO666"/>
      <c r="AP666"/>
      <c r="AQ666"/>
      <c r="AR666"/>
      <c r="AS666"/>
      <c r="AT666"/>
      <c r="AU666"/>
      <c r="AV666"/>
      <c r="AW666"/>
      <c r="AX666"/>
      <c r="AY666"/>
      <c r="AZ666" s="95"/>
      <c r="BA666" s="95"/>
      <c r="BB666" s="94"/>
      <c r="BC666"/>
      <c r="BD666"/>
      <c r="BE666"/>
      <c r="BF666" s="152"/>
      <c r="BG666" s="152"/>
    </row>
    <row r="667" spans="1:59" s="90" customFormat="1" ht="14.25" hidden="1" customHeight="1" x14ac:dyDescent="0.2">
      <c r="A667" s="127"/>
      <c r="B667"/>
      <c r="C667" s="134"/>
      <c r="D667"/>
      <c r="E667"/>
      <c r="F667"/>
      <c r="G667"/>
      <c r="H667"/>
      <c r="I667"/>
      <c r="J667"/>
      <c r="K667"/>
      <c r="L667"/>
      <c r="M667"/>
      <c r="N667"/>
      <c r="O667"/>
      <c r="P667"/>
      <c r="Q667"/>
      <c r="R667"/>
      <c r="S667"/>
      <c r="T667"/>
      <c r="U667"/>
      <c r="V667"/>
      <c r="W667"/>
      <c r="X667" s="66"/>
      <c r="Y667" s="4"/>
      <c r="Z667" s="4"/>
      <c r="AA667" s="4"/>
      <c r="AB667" s="4"/>
      <c r="AC667" s="4"/>
      <c r="AD667" s="4"/>
      <c r="AE667" s="4"/>
      <c r="AF667" s="4"/>
      <c r="AG667"/>
      <c r="AO667"/>
      <c r="AP667"/>
      <c r="AQ667"/>
      <c r="AR667"/>
      <c r="AS667"/>
      <c r="AT667"/>
      <c r="AU667"/>
      <c r="AV667"/>
      <c r="AW667"/>
      <c r="AX667"/>
      <c r="AY667"/>
      <c r="AZ667" s="95"/>
      <c r="BA667" s="95"/>
      <c r="BB667" s="94"/>
      <c r="BC667"/>
      <c r="BD667"/>
      <c r="BE667"/>
      <c r="BF667" s="152"/>
      <c r="BG667" s="152"/>
    </row>
    <row r="668" spans="1:59" s="90" customFormat="1" ht="14.25" hidden="1" customHeight="1" x14ac:dyDescent="0.2">
      <c r="A668" s="127"/>
      <c r="B668"/>
      <c r="C668" s="134"/>
      <c r="D668"/>
      <c r="E668"/>
      <c r="F668"/>
      <c r="G668"/>
      <c r="H668"/>
      <c r="I668"/>
      <c r="J668"/>
      <c r="K668"/>
      <c r="L668"/>
      <c r="M668"/>
      <c r="N668"/>
      <c r="O668"/>
      <c r="P668"/>
      <c r="Q668"/>
      <c r="R668"/>
      <c r="S668"/>
      <c r="T668"/>
      <c r="U668"/>
      <c r="V668"/>
      <c r="W668"/>
      <c r="X668" s="66"/>
      <c r="Y668" s="4"/>
      <c r="Z668" s="4"/>
      <c r="AA668" s="4"/>
      <c r="AB668" s="4"/>
      <c r="AC668" s="4"/>
      <c r="AD668" s="4"/>
      <c r="AE668" s="4"/>
      <c r="AF668" s="4"/>
      <c r="AG668"/>
      <c r="AO668"/>
      <c r="AP668"/>
      <c r="AQ668"/>
      <c r="AR668"/>
      <c r="AS668"/>
      <c r="AT668"/>
      <c r="AU668"/>
      <c r="AV668"/>
      <c r="AW668"/>
      <c r="AX668"/>
      <c r="AY668"/>
      <c r="AZ668" s="95"/>
      <c r="BA668" s="95"/>
      <c r="BB668" s="94"/>
      <c r="BC668"/>
      <c r="BD668"/>
      <c r="BE668"/>
      <c r="BF668" s="152"/>
      <c r="BG668" s="152"/>
    </row>
    <row r="669" spans="1:59" s="90" customFormat="1" ht="14.25" hidden="1" customHeight="1" x14ac:dyDescent="0.2">
      <c r="A669" s="127"/>
      <c r="B669"/>
      <c r="C669" s="134"/>
      <c r="D669"/>
      <c r="E669"/>
      <c r="F669"/>
      <c r="G669"/>
      <c r="H669"/>
      <c r="I669"/>
      <c r="J669"/>
      <c r="K669"/>
      <c r="L669"/>
      <c r="M669"/>
      <c r="N669"/>
      <c r="O669"/>
      <c r="P669"/>
      <c r="Q669"/>
      <c r="R669"/>
      <c r="S669"/>
      <c r="T669"/>
      <c r="U669"/>
      <c r="V669"/>
      <c r="W669"/>
      <c r="X669" s="66"/>
      <c r="Y669" s="4"/>
      <c r="Z669" s="4"/>
      <c r="AA669" s="4"/>
      <c r="AB669" s="4"/>
      <c r="AC669" s="4"/>
      <c r="AD669" s="4"/>
      <c r="AE669" s="4"/>
      <c r="AF669" s="4"/>
      <c r="AG669"/>
      <c r="AO669"/>
      <c r="AP669"/>
      <c r="AQ669"/>
      <c r="AR669"/>
      <c r="AS669"/>
      <c r="AT669"/>
      <c r="AU669"/>
      <c r="AV669"/>
      <c r="AW669"/>
      <c r="AX669"/>
      <c r="AY669"/>
      <c r="AZ669" s="95"/>
      <c r="BA669" s="95"/>
      <c r="BB669" s="94"/>
      <c r="BC669"/>
      <c r="BD669"/>
      <c r="BE669"/>
      <c r="BF669" s="152"/>
      <c r="BG669" s="152"/>
    </row>
    <row r="670" spans="1:59" s="90" customFormat="1" ht="14.25" hidden="1" customHeight="1" x14ac:dyDescent="0.2">
      <c r="A670" s="127"/>
      <c r="B670"/>
      <c r="C670" s="134"/>
      <c r="D670"/>
      <c r="E670"/>
      <c r="F670"/>
      <c r="G670"/>
      <c r="H670"/>
      <c r="I670"/>
      <c r="J670"/>
      <c r="K670"/>
      <c r="L670"/>
      <c r="M670"/>
      <c r="N670"/>
      <c r="O670"/>
      <c r="P670"/>
      <c r="Q670"/>
      <c r="R670"/>
      <c r="S670"/>
      <c r="T670"/>
      <c r="U670"/>
      <c r="V670"/>
      <c r="W670"/>
      <c r="X670" s="66"/>
      <c r="Y670" s="4"/>
      <c r="Z670" s="4"/>
      <c r="AA670" s="4"/>
      <c r="AB670" s="4"/>
      <c r="AC670" s="4"/>
      <c r="AD670" s="4"/>
      <c r="AE670" s="4"/>
      <c r="AF670" s="4"/>
      <c r="AG670"/>
      <c r="AO670"/>
      <c r="AP670"/>
      <c r="AQ670"/>
      <c r="AR670"/>
      <c r="AS670"/>
      <c r="AT670"/>
      <c r="AU670"/>
      <c r="AV670"/>
      <c r="AW670"/>
      <c r="AX670"/>
      <c r="AY670"/>
      <c r="AZ670" s="95"/>
      <c r="BA670" s="95"/>
      <c r="BB670" s="94"/>
      <c r="BC670"/>
      <c r="BD670"/>
      <c r="BE670"/>
      <c r="BF670" s="152"/>
      <c r="BG670" s="152"/>
    </row>
    <row r="671" spans="1:59" s="90" customFormat="1" ht="14.25" hidden="1" customHeight="1" x14ac:dyDescent="0.2">
      <c r="A671" s="127"/>
      <c r="B671"/>
      <c r="C671" s="134"/>
      <c r="D671"/>
      <c r="E671"/>
      <c r="F671"/>
      <c r="G671"/>
      <c r="H671"/>
      <c r="I671"/>
      <c r="J671"/>
      <c r="K671"/>
      <c r="L671"/>
      <c r="M671"/>
      <c r="N671"/>
      <c r="O671"/>
      <c r="P671"/>
      <c r="Q671"/>
      <c r="R671"/>
      <c r="S671"/>
      <c r="T671"/>
      <c r="U671"/>
      <c r="V671"/>
      <c r="W671"/>
      <c r="X671" s="66"/>
      <c r="Y671" s="4"/>
      <c r="Z671" s="4"/>
      <c r="AA671" s="4"/>
      <c r="AB671" s="4"/>
      <c r="AC671" s="4"/>
      <c r="AD671" s="4"/>
      <c r="AE671" s="4"/>
      <c r="AF671" s="4"/>
      <c r="AG671"/>
      <c r="AO671"/>
      <c r="AP671"/>
      <c r="AQ671"/>
      <c r="AR671"/>
      <c r="AS671"/>
      <c r="AT671"/>
      <c r="AU671"/>
      <c r="AV671"/>
      <c r="AW671"/>
      <c r="AX671"/>
      <c r="AY671"/>
      <c r="AZ671" s="95"/>
      <c r="BA671" s="95"/>
      <c r="BB671" s="94"/>
      <c r="BC671"/>
      <c r="BD671"/>
      <c r="BE671"/>
      <c r="BF671" s="152"/>
      <c r="BG671" s="152"/>
    </row>
    <row r="672" spans="1:59" s="90" customFormat="1" ht="14.25" hidden="1" customHeight="1" x14ac:dyDescent="0.2">
      <c r="A672" s="127"/>
      <c r="B672"/>
      <c r="C672" s="134"/>
      <c r="D672"/>
      <c r="E672"/>
      <c r="F672"/>
      <c r="G672"/>
      <c r="H672"/>
      <c r="I672"/>
      <c r="J672"/>
      <c r="K672"/>
      <c r="L672"/>
      <c r="M672"/>
      <c r="N672"/>
      <c r="O672"/>
      <c r="P672"/>
      <c r="Q672"/>
      <c r="R672"/>
      <c r="S672"/>
      <c r="T672"/>
      <c r="U672"/>
      <c r="V672"/>
      <c r="W672"/>
      <c r="X672" s="66"/>
      <c r="Y672" s="4"/>
      <c r="Z672" s="4"/>
      <c r="AA672" s="4"/>
      <c r="AB672" s="4"/>
      <c r="AC672" s="4"/>
      <c r="AD672" s="4"/>
      <c r="AE672" s="4"/>
      <c r="AF672" s="4"/>
      <c r="AG672"/>
      <c r="AO672"/>
      <c r="AP672"/>
      <c r="AQ672"/>
      <c r="AR672"/>
      <c r="AS672"/>
      <c r="AT672"/>
      <c r="AU672"/>
      <c r="AV672"/>
      <c r="AW672"/>
      <c r="AX672"/>
      <c r="AY672"/>
      <c r="AZ672" s="95"/>
      <c r="BA672" s="95"/>
      <c r="BB672" s="94"/>
      <c r="BC672"/>
      <c r="BD672"/>
      <c r="BE672" s="92"/>
      <c r="BF672" s="152"/>
      <c r="BG672" s="152"/>
    </row>
    <row r="673" spans="1:59" s="90" customFormat="1" hidden="1" x14ac:dyDescent="0.2">
      <c r="A673" s="127"/>
      <c r="B673"/>
      <c r="C673" s="134"/>
      <c r="D673"/>
      <c r="E673"/>
      <c r="F673"/>
      <c r="G673"/>
      <c r="H673"/>
      <c r="I673"/>
      <c r="J673"/>
      <c r="K673"/>
      <c r="L673"/>
      <c r="M673"/>
      <c r="N673"/>
      <c r="O673"/>
      <c r="P673"/>
      <c r="Q673"/>
      <c r="R673"/>
      <c r="S673"/>
      <c r="T673"/>
      <c r="U673"/>
      <c r="V673"/>
      <c r="W673"/>
      <c r="X673" s="66"/>
      <c r="Y673" s="4"/>
      <c r="Z673" s="4"/>
      <c r="AA673" s="4"/>
      <c r="AB673" s="4"/>
      <c r="AC673" s="4"/>
      <c r="AD673" s="4"/>
      <c r="AE673" s="4"/>
      <c r="AF673" s="4"/>
      <c r="AG673"/>
      <c r="AL673"/>
      <c r="AO673" s="92"/>
      <c r="AP673" s="92"/>
      <c r="AQ673" s="92"/>
      <c r="AR673" s="92"/>
      <c r="AS673" s="92"/>
      <c r="AV673" s="139"/>
      <c r="AY673" s="140"/>
      <c r="AZ673" s="92"/>
      <c r="BA673" s="92"/>
      <c r="BB673" s="92"/>
      <c r="BC673" s="92"/>
      <c r="BD673" s="92"/>
      <c r="BE673" s="92"/>
      <c r="BF673" s="152"/>
      <c r="BG673" s="152"/>
    </row>
    <row r="674" spans="1:59" s="90" customFormat="1" hidden="1" x14ac:dyDescent="0.2">
      <c r="A674" s="127"/>
      <c r="B674"/>
      <c r="C674" s="134"/>
      <c r="D674"/>
      <c r="E674"/>
      <c r="F674"/>
      <c r="G674"/>
      <c r="H674"/>
      <c r="I674"/>
      <c r="J674"/>
      <c r="K674"/>
      <c r="L674"/>
      <c r="M674"/>
      <c r="N674"/>
      <c r="O674"/>
      <c r="P674"/>
      <c r="Q674"/>
      <c r="R674"/>
      <c r="S674"/>
      <c r="T674"/>
      <c r="U674"/>
      <c r="V674"/>
      <c r="W674"/>
      <c r="X674" s="66"/>
      <c r="Y674" s="4"/>
      <c r="Z674" s="4"/>
      <c r="AA674" s="4"/>
      <c r="AB674" s="4"/>
      <c r="AC674" s="4"/>
      <c r="AD674" s="4"/>
      <c r="AE674" s="4"/>
      <c r="AF674" s="4"/>
      <c r="AG674"/>
      <c r="AL674" t="s">
        <v>462</v>
      </c>
      <c r="AO674" s="92"/>
      <c r="AP674" s="92"/>
      <c r="AQ674" s="92"/>
      <c r="AR674" s="92"/>
      <c r="AS674" s="92"/>
      <c r="AV674" s="139"/>
      <c r="AY674" s="140"/>
      <c r="AZ674" s="92"/>
      <c r="BA674" s="92"/>
      <c r="BB674" s="92"/>
      <c r="BC674" s="92"/>
      <c r="BD674" s="92"/>
      <c r="BE674" s="92"/>
      <c r="BF674" s="152"/>
      <c r="BG674" s="152"/>
    </row>
    <row r="675" spans="1:59" s="90" customFormat="1" hidden="1" x14ac:dyDescent="0.2">
      <c r="A675" s="127"/>
      <c r="B675"/>
      <c r="C675" s="134"/>
      <c r="D675"/>
      <c r="E675"/>
      <c r="F675"/>
      <c r="G675"/>
      <c r="H675"/>
      <c r="I675"/>
      <c r="J675"/>
      <c r="K675"/>
      <c r="L675"/>
      <c r="M675"/>
      <c r="N675"/>
      <c r="O675"/>
      <c r="P675"/>
      <c r="Q675"/>
      <c r="R675"/>
      <c r="S675"/>
      <c r="T675"/>
      <c r="U675"/>
      <c r="V675"/>
      <c r="W675"/>
      <c r="X675" s="66"/>
      <c r="Y675" s="4"/>
      <c r="Z675" s="4"/>
      <c r="AA675" s="4"/>
      <c r="AB675" s="4"/>
      <c r="AC675" s="4"/>
      <c r="AD675" s="4"/>
      <c r="AE675" s="4"/>
      <c r="AF675" s="4"/>
      <c r="AG675"/>
      <c r="AL675" t="s">
        <v>463</v>
      </c>
      <c r="AO675" s="92"/>
      <c r="AP675" s="92"/>
      <c r="AQ675" s="92"/>
      <c r="AR675" s="92"/>
      <c r="AS675" s="92"/>
      <c r="AV675" s="139"/>
      <c r="AY675" s="140"/>
      <c r="AZ675" s="92" t="s">
        <v>447</v>
      </c>
      <c r="BA675" s="92">
        <f>$BB$63</f>
        <v>0</v>
      </c>
      <c r="BB675" s="92">
        <f>$BA$63</f>
        <v>0</v>
      </c>
      <c r="BC675" s="92"/>
      <c r="BD675" s="92"/>
      <c r="BE675" s="92"/>
      <c r="BF675" s="152"/>
      <c r="BG675" s="152"/>
    </row>
    <row r="676" spans="1:59" s="90" customFormat="1" hidden="1" x14ac:dyDescent="0.2">
      <c r="A676" s="127"/>
      <c r="B676"/>
      <c r="C676" s="134"/>
      <c r="D676"/>
      <c r="E676"/>
      <c r="F676"/>
      <c r="G676"/>
      <c r="H676"/>
      <c r="I676"/>
      <c r="J676"/>
      <c r="K676"/>
      <c r="L676"/>
      <c r="M676"/>
      <c r="N676"/>
      <c r="O676"/>
      <c r="P676"/>
      <c r="Q676"/>
      <c r="R676"/>
      <c r="S676"/>
      <c r="T676"/>
      <c r="U676"/>
      <c r="V676"/>
      <c r="W676"/>
      <c r="X676" s="66"/>
      <c r="Y676" s="4"/>
      <c r="Z676" s="4"/>
      <c r="AA676" s="4"/>
      <c r="AB676" s="4"/>
      <c r="AC676" s="4"/>
      <c r="AD676" s="4"/>
      <c r="AE676" s="4"/>
      <c r="AF676" s="4"/>
      <c r="AG676"/>
      <c r="AO676" s="92"/>
      <c r="AP676" s="92"/>
      <c r="AQ676" s="92"/>
      <c r="AR676" s="92"/>
      <c r="AS676" s="92"/>
      <c r="AV676" s="139"/>
      <c r="AY676" s="140"/>
      <c r="AZ676" s="92" t="s">
        <v>448</v>
      </c>
      <c r="BA676" s="92">
        <f>$BC$63</f>
        <v>0</v>
      </c>
      <c r="BB676" s="92">
        <f>$BA$63</f>
        <v>0</v>
      </c>
      <c r="BC676" s="92"/>
      <c r="BD676" s="92"/>
      <c r="BE676" s="92"/>
      <c r="BF676" s="152"/>
      <c r="BG676" s="152"/>
    </row>
    <row r="677" spans="1:59" s="90" customFormat="1" hidden="1" x14ac:dyDescent="0.2">
      <c r="A677" s="127"/>
      <c r="B677"/>
      <c r="C677" s="134"/>
      <c r="D677"/>
      <c r="E677"/>
      <c r="F677"/>
      <c r="G677"/>
      <c r="H677"/>
      <c r="I677"/>
      <c r="J677"/>
      <c r="K677"/>
      <c r="L677"/>
      <c r="M677"/>
      <c r="N677"/>
      <c r="O677"/>
      <c r="P677"/>
      <c r="Q677"/>
      <c r="R677"/>
      <c r="S677"/>
      <c r="T677"/>
      <c r="U677"/>
      <c r="V677"/>
      <c r="W677"/>
      <c r="X677" s="66"/>
      <c r="Y677" s="4"/>
      <c r="Z677" s="4"/>
      <c r="AA677" s="4"/>
      <c r="AB677" s="4"/>
      <c r="AC677" s="4"/>
      <c r="AD677" s="4"/>
      <c r="AE677" s="4"/>
      <c r="AF677" s="4"/>
      <c r="AG677"/>
      <c r="AO677" s="92"/>
      <c r="AP677" s="92"/>
      <c r="AQ677" s="92"/>
      <c r="AR677" s="92"/>
      <c r="AS677" s="92"/>
      <c r="AV677" s="139"/>
      <c r="AY677" s="140"/>
      <c r="AZ677" s="92" t="s">
        <v>449</v>
      </c>
      <c r="BA677" s="92">
        <f>$BB$63</f>
        <v>0</v>
      </c>
      <c r="BB677" s="92">
        <f>$BC$63</f>
        <v>0</v>
      </c>
      <c r="BC677" s="92"/>
      <c r="BD677" s="92"/>
      <c r="BE677" s="92"/>
      <c r="BF677" s="152"/>
      <c r="BG677" s="152"/>
    </row>
    <row r="678" spans="1:59" s="90" customFormat="1" hidden="1" x14ac:dyDescent="0.2">
      <c r="A678" s="127"/>
      <c r="B678"/>
      <c r="C678" s="134"/>
      <c r="D678"/>
      <c r="E678"/>
      <c r="F678"/>
      <c r="G678"/>
      <c r="H678"/>
      <c r="I678"/>
      <c r="J678"/>
      <c r="K678"/>
      <c r="L678"/>
      <c r="M678"/>
      <c r="N678"/>
      <c r="O678"/>
      <c r="P678"/>
      <c r="Q678"/>
      <c r="R678"/>
      <c r="S678"/>
      <c r="T678"/>
      <c r="U678"/>
      <c r="V678"/>
      <c r="W678"/>
      <c r="X678" s="66"/>
      <c r="Y678" s="4"/>
      <c r="Z678" s="4"/>
      <c r="AA678" s="4"/>
      <c r="AB678" s="4"/>
      <c r="AC678" s="4"/>
      <c r="AD678" s="4"/>
      <c r="AE678" s="4"/>
      <c r="AF678" s="4"/>
      <c r="AG678"/>
      <c r="AO678" s="92"/>
      <c r="AP678" s="92"/>
      <c r="AQ678" s="92"/>
      <c r="AR678" s="92"/>
      <c r="AS678" s="92"/>
      <c r="AV678" s="139"/>
      <c r="AY678" s="140"/>
      <c r="AZ678" s="92" t="s">
        <v>450</v>
      </c>
      <c r="BA678" s="92">
        <f>$BB$63</f>
        <v>0</v>
      </c>
      <c r="BB678" s="92">
        <f>$BC$63</f>
        <v>0</v>
      </c>
      <c r="BC678" s="92"/>
      <c r="BD678" s="92"/>
      <c r="BE678" s="92"/>
      <c r="BF678" s="152"/>
      <c r="BG678" s="152"/>
    </row>
    <row r="679" spans="1:59" s="90" customFormat="1" hidden="1" x14ac:dyDescent="0.2">
      <c r="A679" s="127"/>
      <c r="B679"/>
      <c r="C679" s="134"/>
      <c r="D679"/>
      <c r="E679"/>
      <c r="F679"/>
      <c r="G679"/>
      <c r="H679"/>
      <c r="I679"/>
      <c r="J679"/>
      <c r="K679"/>
      <c r="L679"/>
      <c r="M679"/>
      <c r="N679"/>
      <c r="O679"/>
      <c r="P679"/>
      <c r="Q679"/>
      <c r="R679"/>
      <c r="S679"/>
      <c r="T679"/>
      <c r="U679"/>
      <c r="V679"/>
      <c r="W679"/>
      <c r="X679" s="66"/>
      <c r="Y679" s="4"/>
      <c r="Z679" s="4"/>
      <c r="AA679" s="4"/>
      <c r="AB679" s="4"/>
      <c r="AC679" s="4"/>
      <c r="AD679" s="4"/>
      <c r="AE679" s="4"/>
      <c r="AF679" s="4"/>
      <c r="AG679"/>
      <c r="AO679" s="92"/>
      <c r="AP679" s="92"/>
      <c r="AQ679" s="92"/>
      <c r="AR679" s="92"/>
      <c r="AS679" s="92"/>
      <c r="AV679" s="139"/>
      <c r="AY679" s="140"/>
      <c r="AZ679" s="92" t="s">
        <v>451</v>
      </c>
      <c r="BA679" s="92">
        <f>$BB$63</f>
        <v>0</v>
      </c>
      <c r="BB679" s="92">
        <f>$BA$63</f>
        <v>0</v>
      </c>
      <c r="BC679" s="92">
        <f>$AZ$63</f>
        <v>0</v>
      </c>
      <c r="BD679" s="92"/>
      <c r="BE679" s="92"/>
      <c r="BF679" s="152"/>
      <c r="BG679" s="152"/>
    </row>
    <row r="680" spans="1:59" hidden="1" x14ac:dyDescent="0.2">
      <c r="A680" s="127"/>
      <c r="X680" s="66"/>
      <c r="AH680" s="90"/>
      <c r="AI680" s="90"/>
      <c r="AJ680" s="90"/>
      <c r="AK680" s="90"/>
      <c r="AL680" s="90"/>
      <c r="AO680" s="92"/>
      <c r="AP680" s="92"/>
      <c r="AQ680" s="92"/>
      <c r="AR680" s="92"/>
      <c r="AS680" s="92"/>
      <c r="AT680" s="90"/>
      <c r="AU680" s="90"/>
      <c r="AV680" s="139"/>
      <c r="AW680" s="90"/>
      <c r="AX680" s="90"/>
      <c r="AY680" s="140"/>
      <c r="AZ680" s="92" t="s">
        <v>452</v>
      </c>
      <c r="BA680" s="92">
        <f>$BC$63</f>
        <v>0</v>
      </c>
      <c r="BB680" s="92">
        <f>$BA$63</f>
        <v>0</v>
      </c>
      <c r="BC680" s="92">
        <f>$AZ$63</f>
        <v>0</v>
      </c>
      <c r="BD680" s="92"/>
      <c r="BE680" s="92"/>
    </row>
    <row r="681" spans="1:59" hidden="1" x14ac:dyDescent="0.2">
      <c r="A681" s="128"/>
      <c r="AO681" s="92" t="s">
        <v>442</v>
      </c>
      <c r="AP681" s="92" t="s">
        <v>437</v>
      </c>
      <c r="AQ681" s="92" t="s">
        <v>443</v>
      </c>
      <c r="AR681" s="92" t="s">
        <v>439</v>
      </c>
      <c r="AS681" s="92" t="s">
        <v>440</v>
      </c>
      <c r="AT681" s="90"/>
      <c r="AU681" s="90"/>
      <c r="AV681" s="139" t="str">
        <f>IF(AY709=MIN($AW$65:$AW$79),"x","")</f>
        <v>x</v>
      </c>
      <c r="AW681" s="90"/>
      <c r="AX681" s="90"/>
      <c r="AY681" s="140">
        <f>$AW$62+$AX$62+$AZ$62+$BC$62</f>
        <v>1.1137000000000001</v>
      </c>
      <c r="AZ681" s="92" t="s">
        <v>453</v>
      </c>
      <c r="BA681" s="92">
        <f>$BC$63</f>
        <v>0</v>
      </c>
      <c r="BB681" s="92">
        <f>$BB$63</f>
        <v>0</v>
      </c>
      <c r="BC681" s="92">
        <f>$AZ$63</f>
        <v>0</v>
      </c>
      <c r="BD681" s="92"/>
      <c r="BE681" s="92"/>
    </row>
    <row r="682" spans="1:59" hidden="1" x14ac:dyDescent="0.2">
      <c r="A682" s="123"/>
      <c r="AO682" s="92" t="s">
        <v>444</v>
      </c>
      <c r="AP682" s="92" t="s">
        <v>438</v>
      </c>
      <c r="AQ682" s="92" t="s">
        <v>441</v>
      </c>
      <c r="AR682" s="92" t="s">
        <v>437</v>
      </c>
      <c r="AS682" s="92" t="s">
        <v>439</v>
      </c>
      <c r="AT682" s="90"/>
      <c r="AU682" s="90"/>
      <c r="AV682" s="139" t="str">
        <f>IF(AY682=MIN($AW$65:$AW$79),"x","")</f>
        <v>x</v>
      </c>
      <c r="AW682" s="90"/>
      <c r="AX682" s="90"/>
      <c r="AY682" s="140">
        <f>$AW$62+$AX$62+$BA$62+$BB$62</f>
        <v>0</v>
      </c>
      <c r="AZ682" s="92">
        <f>$BB$63</f>
        <v>0</v>
      </c>
      <c r="BA682" s="92">
        <f>$BA$63</f>
        <v>0</v>
      </c>
      <c r="BB682" s="92">
        <f>$AX$63</f>
        <v>0</v>
      </c>
      <c r="BC682" s="92">
        <f>$BA$63</f>
        <v>0</v>
      </c>
      <c r="BD682" s="92"/>
      <c r="BE682" s="92"/>
    </row>
    <row r="683" spans="1:59" hidden="1" x14ac:dyDescent="0.2">
      <c r="AO683" s="92" t="s">
        <v>445</v>
      </c>
      <c r="AP683" s="92" t="s">
        <v>438</v>
      </c>
      <c r="AQ683" s="92" t="s">
        <v>443</v>
      </c>
      <c r="AR683" s="92" t="s">
        <v>437</v>
      </c>
      <c r="AS683" s="92" t="s">
        <v>439</v>
      </c>
      <c r="AT683" s="90"/>
      <c r="AU683" s="90"/>
      <c r="AV683" s="139" t="str">
        <f>IF(AY683=MIN($AW$65:$AW$79),"x","")</f>
        <v>x</v>
      </c>
      <c r="AW683" s="90"/>
      <c r="AX683" s="90"/>
      <c r="AY683" s="140">
        <f>$AW$62+$AX$62+$BA$62+$BC$62</f>
        <v>0</v>
      </c>
      <c r="AZ683" s="92">
        <f>$BB$63</f>
        <v>0</v>
      </c>
      <c r="BA683" s="92">
        <f>$BA$63</f>
        <v>0</v>
      </c>
      <c r="BB683" s="92">
        <f>$AZ$63</f>
        <v>0</v>
      </c>
      <c r="BC683" s="92">
        <f>$AX$63</f>
        <v>0</v>
      </c>
      <c r="BD683" s="92"/>
      <c r="BE683" s="92"/>
    </row>
    <row r="684" spans="1:59" hidden="1" x14ac:dyDescent="0.2">
      <c r="AO684" s="92" t="s">
        <v>446</v>
      </c>
      <c r="AP684" s="92" t="s">
        <v>441</v>
      </c>
      <c r="AQ684" s="92" t="s">
        <v>443</v>
      </c>
      <c r="AR684" s="92" t="s">
        <v>439</v>
      </c>
      <c r="AS684" s="92" t="s">
        <v>437</v>
      </c>
      <c r="AT684" s="90"/>
      <c r="AU684" s="90"/>
      <c r="AV684" s="139" t="str">
        <f>IF(AY684=MIN($AW$65:$AW$79),"x","")</f>
        <v>x</v>
      </c>
      <c r="AW684" s="90"/>
      <c r="AX684" s="90"/>
      <c r="AY684" s="140">
        <f>$AW$62+$AX$62+$BB$62+$BC$62</f>
        <v>0</v>
      </c>
      <c r="BC684" s="92">
        <f>$AZ$63</f>
        <v>0</v>
      </c>
      <c r="BD684" s="92"/>
      <c r="BE684" s="92"/>
    </row>
    <row r="685" spans="1:59" hidden="1" x14ac:dyDescent="0.2">
      <c r="AO685" s="92" t="s">
        <v>447</v>
      </c>
      <c r="AP685" s="92" t="s">
        <v>441</v>
      </c>
      <c r="AQ685" s="92" t="s">
        <v>438</v>
      </c>
      <c r="AR685" s="92" t="s">
        <v>440</v>
      </c>
      <c r="AS685" s="92" t="s">
        <v>437</v>
      </c>
      <c r="AT685" s="90"/>
      <c r="AU685" s="90"/>
      <c r="AV685" s="139"/>
      <c r="AW685" s="90"/>
      <c r="AX685" s="90"/>
      <c r="AY685" s="140"/>
      <c r="BC685" s="92">
        <f>$AZ$63</f>
        <v>0</v>
      </c>
      <c r="BD685" s="92"/>
      <c r="BE685" s="92"/>
    </row>
    <row r="686" spans="1:59" hidden="1" x14ac:dyDescent="0.2">
      <c r="AO686" s="92" t="s">
        <v>448</v>
      </c>
      <c r="AP686" s="92" t="s">
        <v>443</v>
      </c>
      <c r="AQ686" s="92" t="s">
        <v>438</v>
      </c>
      <c r="AR686" s="92" t="s">
        <v>440</v>
      </c>
      <c r="AS686" s="92" t="s">
        <v>437</v>
      </c>
      <c r="AT686" s="90"/>
      <c r="AU686" s="90"/>
      <c r="AV686" s="139"/>
      <c r="AW686" s="90"/>
      <c r="AX686" s="90"/>
      <c r="AY686" s="140"/>
      <c r="BE686" s="92"/>
    </row>
    <row r="687" spans="1:59" hidden="1" x14ac:dyDescent="0.2">
      <c r="AO687" s="92" t="s">
        <v>449</v>
      </c>
      <c r="AP687" s="92" t="s">
        <v>441</v>
      </c>
      <c r="AQ687" s="92" t="s">
        <v>443</v>
      </c>
      <c r="AR687" s="92" t="s">
        <v>440</v>
      </c>
      <c r="AS687" s="92" t="s">
        <v>437</v>
      </c>
      <c r="AT687" s="90"/>
      <c r="AU687" s="90"/>
      <c r="AV687" s="139"/>
      <c r="AW687" s="90"/>
      <c r="AX687" s="90"/>
      <c r="AY687" s="140"/>
      <c r="BE687" s="92"/>
    </row>
    <row r="688" spans="1:59" hidden="1" x14ac:dyDescent="0.2">
      <c r="AO688" s="92" t="s">
        <v>450</v>
      </c>
      <c r="AP688" s="92" t="s">
        <v>441</v>
      </c>
      <c r="AQ688" s="92" t="s">
        <v>443</v>
      </c>
      <c r="AR688" s="92" t="s">
        <v>438</v>
      </c>
      <c r="AS688" s="92" t="s">
        <v>437</v>
      </c>
      <c r="AT688" s="90"/>
      <c r="AU688" s="90"/>
      <c r="AV688" s="139"/>
      <c r="AW688" s="90"/>
      <c r="AX688" s="90"/>
      <c r="AY688" s="140"/>
      <c r="BE688" s="92"/>
    </row>
    <row r="689" spans="41:57" hidden="1" x14ac:dyDescent="0.2">
      <c r="AO689" s="92" t="s">
        <v>451</v>
      </c>
      <c r="AP689" s="92" t="s">
        <v>441</v>
      </c>
      <c r="AQ689" s="92" t="s">
        <v>438</v>
      </c>
      <c r="AR689" s="92" t="s">
        <v>439</v>
      </c>
      <c r="AS689" s="92" t="s">
        <v>440</v>
      </c>
      <c r="AT689" s="90"/>
      <c r="AU689" s="90"/>
      <c r="AV689" s="139"/>
      <c r="AW689" s="90"/>
      <c r="AX689" s="90"/>
      <c r="AY689" s="140"/>
      <c r="BE689" s="92"/>
    </row>
    <row r="690" spans="41:57" hidden="1" x14ac:dyDescent="0.2">
      <c r="AO690" s="92" t="s">
        <v>452</v>
      </c>
      <c r="AP690" s="92" t="s">
        <v>443</v>
      </c>
      <c r="AQ690" s="92" t="s">
        <v>438</v>
      </c>
      <c r="AR690" s="92" t="s">
        <v>440</v>
      </c>
      <c r="AS690" s="92" t="s">
        <v>439</v>
      </c>
      <c r="AT690" s="90"/>
      <c r="AU690" s="90"/>
      <c r="AV690" s="139"/>
      <c r="AW690" s="90"/>
      <c r="AX690" s="90"/>
      <c r="AY690" s="140"/>
      <c r="BE690" s="92"/>
    </row>
    <row r="691" spans="41:57" hidden="1" x14ac:dyDescent="0.2">
      <c r="AO691" s="92" t="s">
        <v>453</v>
      </c>
      <c r="AP691" s="92" t="s">
        <v>443</v>
      </c>
      <c r="AQ691" s="92" t="s">
        <v>441</v>
      </c>
      <c r="AR691" s="92" t="s">
        <v>440</v>
      </c>
      <c r="AS691" s="92" t="s">
        <v>439</v>
      </c>
      <c r="AT691" s="90"/>
      <c r="AU691" s="90"/>
      <c r="AV691" s="139"/>
      <c r="AW691" s="90"/>
      <c r="AX691" s="90"/>
      <c r="AY691" s="140"/>
      <c r="BE691" s="92"/>
    </row>
    <row r="692" spans="41:57" hidden="1" x14ac:dyDescent="0.2">
      <c r="AO692" s="92" t="s">
        <v>454</v>
      </c>
      <c r="AP692" s="92" t="s">
        <v>443</v>
      </c>
      <c r="AQ692" s="92" t="s">
        <v>441</v>
      </c>
      <c r="AR692" s="92" t="s">
        <v>438</v>
      </c>
      <c r="AS692" s="92" t="s">
        <v>439</v>
      </c>
      <c r="AT692" s="90"/>
      <c r="AU692" s="90"/>
      <c r="AV692" s="139" t="str">
        <f>IF(AY692=MIN($AW$65:$AW$79),"x","")</f>
        <v/>
      </c>
      <c r="AW692" s="90"/>
      <c r="AX692" s="90"/>
      <c r="AY692" s="140">
        <f>$AW$62+$AZ$62+$BA$62+$BB$62</f>
        <v>1.1137000000000001</v>
      </c>
      <c r="BE692" s="92">
        <f>$AZ$63</f>
        <v>0</v>
      </c>
    </row>
    <row r="693" spans="41:57" hidden="1" x14ac:dyDescent="0.2">
      <c r="AO693" s="92" t="s">
        <v>455</v>
      </c>
      <c r="AP693" s="92" t="s">
        <v>443</v>
      </c>
      <c r="AQ693" s="92" t="s">
        <v>441</v>
      </c>
      <c r="AR693" s="92" t="s">
        <v>438</v>
      </c>
      <c r="AS693" s="92" t="s">
        <v>440</v>
      </c>
      <c r="AT693" s="90"/>
      <c r="AU693" s="90"/>
      <c r="AV693" s="139" t="str">
        <f>IF(AY693=MIN($AW$65:$AW$79),"x","")</f>
        <v/>
      </c>
      <c r="AW693" s="90"/>
      <c r="AX693" s="90"/>
      <c r="AY693" s="140">
        <f>$AW$62+$AZ$62+$BA$62+$BC$62</f>
        <v>1.1137000000000001</v>
      </c>
      <c r="BE693" s="92">
        <f>$AX$63</f>
        <v>0</v>
      </c>
    </row>
    <row r="694" spans="41:57" hidden="1" x14ac:dyDescent="0.2">
      <c r="AO694" s="92" t="s">
        <v>449</v>
      </c>
      <c r="AP694" s="92" t="s">
        <v>441</v>
      </c>
      <c r="AQ694" s="92" t="s">
        <v>443</v>
      </c>
      <c r="AR694" s="92" t="s">
        <v>440</v>
      </c>
      <c r="AS694" s="92" t="s">
        <v>437</v>
      </c>
      <c r="AT694" s="90"/>
      <c r="AU694" s="90"/>
      <c r="AV694" s="139" t="str">
        <f>IF(AY694=MIN($AW$65:$AW$79),"--&gt;","")</f>
        <v/>
      </c>
      <c r="AW694" s="90"/>
      <c r="AX694" s="90"/>
      <c r="AY694" s="140">
        <f>$AW$62+$AZ$62+$BB$62+$BC$62</f>
        <v>1.1137000000000001</v>
      </c>
      <c r="BE694" s="92">
        <f>$AX$63</f>
        <v>0</v>
      </c>
    </row>
    <row r="695" spans="41:57" hidden="1" x14ac:dyDescent="0.2">
      <c r="AO695" s="92" t="s">
        <v>450</v>
      </c>
      <c r="AP695" s="92" t="s">
        <v>441</v>
      </c>
      <c r="AQ695" s="92" t="s">
        <v>443</v>
      </c>
      <c r="AR695" s="92" t="s">
        <v>438</v>
      </c>
      <c r="AS695" s="92" t="s">
        <v>437</v>
      </c>
      <c r="AT695" s="90"/>
      <c r="AU695" s="90"/>
      <c r="AV695" s="139" t="str">
        <f>IF(AY695=MIN($AW$65:$AW$79),"x","")</f>
        <v>x</v>
      </c>
      <c r="AW695" s="90"/>
      <c r="AX695" s="90"/>
      <c r="AY695" s="140">
        <f>$AW$62+$BA$62+$BB$62+$BC$62</f>
        <v>0</v>
      </c>
      <c r="BE695" s="92">
        <f>$AW$63</f>
        <v>0</v>
      </c>
    </row>
    <row r="696" spans="41:57" hidden="1" x14ac:dyDescent="0.2">
      <c r="AO696" s="92" t="s">
        <v>451</v>
      </c>
      <c r="AP696" s="92" t="s">
        <v>441</v>
      </c>
      <c r="AQ696" s="92" t="s">
        <v>438</v>
      </c>
      <c r="AR696" s="92" t="s">
        <v>439</v>
      </c>
      <c r="AS696" s="92" t="s">
        <v>440</v>
      </c>
      <c r="AT696" s="90"/>
      <c r="AU696" s="90"/>
      <c r="AV696" s="139" t="str">
        <f>IF(AY696=MIN($AW$65:$AW$79),"x","")</f>
        <v/>
      </c>
      <c r="AW696" s="90"/>
      <c r="AX696" s="90"/>
      <c r="AY696" s="140">
        <f>$AX$62+$AZ$62+$BA$62+$BB$62</f>
        <v>1.1137000000000001</v>
      </c>
      <c r="BE696" s="92"/>
    </row>
    <row r="697" spans="41:57" hidden="1" x14ac:dyDescent="0.2">
      <c r="AO697" s="92" t="s">
        <v>452</v>
      </c>
      <c r="AP697" s="92" t="s">
        <v>443</v>
      </c>
      <c r="AQ697" s="92" t="s">
        <v>438</v>
      </c>
      <c r="AR697" s="92" t="s">
        <v>440</v>
      </c>
      <c r="AS697" s="92" t="s">
        <v>439</v>
      </c>
      <c r="AT697" s="90"/>
      <c r="AU697" s="90"/>
      <c r="AV697" s="139" t="str">
        <f>IF(AY697=MIN($AW$65:$AW$79),"x","")</f>
        <v/>
      </c>
      <c r="AW697" s="90"/>
      <c r="AX697" s="90"/>
      <c r="AY697" s="140">
        <f>$AX$62+$AZ$62+$BA$62+$BC$62</f>
        <v>1.1137000000000001</v>
      </c>
      <c r="BE697" s="92"/>
    </row>
    <row r="698" spans="41:57" hidden="1" x14ac:dyDescent="0.2">
      <c r="AO698" s="92" t="s">
        <v>453</v>
      </c>
      <c r="AP698" s="92" t="s">
        <v>443</v>
      </c>
      <c r="AQ698" s="92" t="s">
        <v>441</v>
      </c>
      <c r="AR698" s="92" t="s">
        <v>440</v>
      </c>
      <c r="AS698" s="92" t="s">
        <v>439</v>
      </c>
      <c r="AT698" s="90"/>
      <c r="AU698" s="90"/>
      <c r="AV698" s="139" t="str">
        <f>IF(AY698=MIN($AW$65:$AW$79),"x","")</f>
        <v/>
      </c>
      <c r="AW698" s="90"/>
      <c r="AX698" s="90"/>
      <c r="AY698" s="140">
        <f>$AX$62+$AZ$62+$BB$62+$BC$62</f>
        <v>1.1137000000000001</v>
      </c>
      <c r="BE698" s="92"/>
    </row>
    <row r="699" spans="41:57" hidden="1" x14ac:dyDescent="0.2">
      <c r="AQ699" s="92" t="s">
        <v>454</v>
      </c>
      <c r="AR699" s="92" t="s">
        <v>443</v>
      </c>
      <c r="AS699" s="92" t="s">
        <v>441</v>
      </c>
      <c r="AT699" s="92" t="s">
        <v>438</v>
      </c>
      <c r="AU699" s="92" t="s">
        <v>439</v>
      </c>
      <c r="AV699" s="139" t="str">
        <f>IF(AW699=MIN($AW$65:$AW$79),"--&gt;","")</f>
        <v>--&gt;</v>
      </c>
      <c r="AW699" s="140">
        <f>$AX$62+$BA$62+$BB$62+$BC$62</f>
        <v>0</v>
      </c>
      <c r="AX699" s="92" t="s">
        <v>454</v>
      </c>
      <c r="AY699" s="92">
        <f>$BC$63</f>
        <v>0</v>
      </c>
      <c r="BE699" s="92"/>
    </row>
    <row r="700" spans="41:57" hidden="1" x14ac:dyDescent="0.2">
      <c r="AQ700" s="92" t="s">
        <v>455</v>
      </c>
      <c r="AR700" s="92" t="s">
        <v>443</v>
      </c>
      <c r="AS700" s="92" t="s">
        <v>441</v>
      </c>
      <c r="AT700" s="92" t="s">
        <v>438</v>
      </c>
      <c r="AU700" s="92" t="s">
        <v>440</v>
      </c>
      <c r="AV700" s="139" t="str">
        <f t="shared" ref="AV700" si="167">IF(AW700=MIN($AW$65:$AW$79),"x","")</f>
        <v/>
      </c>
      <c r="AW700" s="140">
        <f>$AZ$62+$BA$62+$BB$62+$BC$62</f>
        <v>1.1137000000000001</v>
      </c>
      <c r="AX700" s="92" t="s">
        <v>455</v>
      </c>
      <c r="AY700" s="92">
        <f>$BC$63</f>
        <v>0</v>
      </c>
      <c r="BE700" s="92"/>
    </row>
    <row r="701" spans="41:57" hidden="1" x14ac:dyDescent="0.2">
      <c r="BE701" s="92"/>
    </row>
    <row r="702" spans="41:57" hidden="1" x14ac:dyDescent="0.2">
      <c r="BE702" s="92"/>
    </row>
    <row r="703" spans="41:57" hidden="1" x14ac:dyDescent="0.2">
      <c r="BE703" s="92">
        <f>$AW$63</f>
        <v>0</v>
      </c>
    </row>
    <row r="704" spans="41:57" hidden="1" x14ac:dyDescent="0.2">
      <c r="BE704" s="92">
        <f>$AW$63</f>
        <v>0</v>
      </c>
    </row>
    <row r="705" spans="57:57" hidden="1" x14ac:dyDescent="0.2">
      <c r="BE705" s="92">
        <f>$AW$63</f>
        <v>0</v>
      </c>
    </row>
    <row r="706" spans="57:57" hidden="1" x14ac:dyDescent="0.2">
      <c r="BE706" s="92">
        <f>$AW$63</f>
        <v>0</v>
      </c>
    </row>
    <row r="707" spans="57:57" hidden="1" x14ac:dyDescent="0.2">
      <c r="BE707" s="92">
        <f>$AZ$63</f>
        <v>0</v>
      </c>
    </row>
    <row r="708" spans="57:57" hidden="1" x14ac:dyDescent="0.2">
      <c r="BE708" s="92">
        <f>$AX$63</f>
        <v>0</v>
      </c>
    </row>
    <row r="709" spans="57:57" hidden="1" x14ac:dyDescent="0.2">
      <c r="BE709" s="92">
        <f>$AX$63</f>
        <v>0</v>
      </c>
    </row>
  </sheetData>
  <sheetProtection algorithmName="SHA-512" hashValue="W2xNVgVmsBub7rx5EANo62mrSDcyOE4kc2/BxwLjOIoEuW4IQNgT+tHJXFvTOs2Zwy3kbgaO7koDkmisnzFOcA==" saltValue="z1p9wpHIU6DhhysY7zcXHw==" spinCount="100000" sheet="1" scenarios="1" selectLockedCells="1"/>
  <protectedRanges>
    <protectedRange sqref="K3:K149 L136 W136:W139 L145 B150:L150 W3:W100 L3:L100 W145:W150" name="Bereik1"/>
    <protectedRange sqref="B148:J149" name="Bereik1_1"/>
    <protectedRange sqref="M31 M16:V16 M41:M42 N67:V76 N77 P77:V77 P3:V15 N92 N94:Q94 O92:P93 Q93 R92:V94 N78:V90 M67:M90 M3:N15 O4:O15 M145 M136 N95:V95 M92:M100 N41:V64 M50:M65" name="Bereik1_1_1"/>
    <protectedRange sqref="D133:F134 B4:C10 D4:F9 B20:C26 B36:B42 B28:C34 H34 B44:B50 H50 C131:F132 C133:C145 D138:D140 D136:E136 J28:J34 J44:J50 J120:J129 B82 H82 J82 J98:J99 B118:B145 C118:C130 F104 F101:F102 D107 D101:D105 D109:D111 F114:F115 H98:H99 B98:C117 J117:J118 D113:D114 E101:E116 E120:E127 B146:C147 H101:H118 H120:H129 G4:J10 D20:F25 C36:F41 E138:J141 D143:J145 D147:J147 B12:J18 G20:J26 D28:I33 G36:J42 C44:I49 B52:J58 B60:J66 B68:J74 B76:J81 B84:J90 B92:J97 G101:G116 I101:J116 I120:I128 G120:G128 G131:J136" name="Bereik1_1_2"/>
    <protectedRange sqref="B11 B3:J3 D11:J11 D19:J19 D35:J35 D51:J51 D67:J67 D83:J83 D100:J100 D119:J119 D130:J130 D137:J137 D142:J142 D146:J146 D27:J27 D43:J43 D59:J59 D75:J75 D91:J91" name="Bereik1_1_3"/>
    <protectedRange sqref="C11" name="Bereik1_1_4"/>
    <protectedRange sqref="B19:C19" name="Bereik1_1_5"/>
    <protectedRange sqref="B27:C27" name="Bereik1_1_6"/>
    <protectedRange sqref="B35:C35" name="Bereik1_1_7"/>
    <protectedRange sqref="B43:C43 B51:C51 B59:C59 B83:C83 B91:C91 B67:C67 B75:C75" name="Bereik1_1_8"/>
    <protectedRange sqref="N19:V19 N27:V27 N21:V21 N23:V23 N25:V25 N29:V29 N31:V31 N33:V33 N37:V37 N35:V35 N39:V39" name="Bereik1_1_1_1"/>
    <protectedRange sqref="M18:M30 M32 M34 M36 M38" name="Bereik1_1_1_2"/>
    <protectedRange sqref="M43:M49" name="Bereik1_1_1_3"/>
  </protectedRanges>
  <autoFilter ref="AO112:AX112" xr:uid="{00000000-0001-0000-0000-000000000000}"/>
  <sortState xmlns:xlrd2="http://schemas.microsoft.com/office/spreadsheetml/2017/richdata2" ref="BF3:BF50">
    <sortCondition ref="BF3:BF50"/>
  </sortState>
  <dataConsolidate/>
  <mergeCells count="25">
    <mergeCell ref="B1:E1"/>
    <mergeCell ref="M8:V8"/>
    <mergeCell ref="M16:V16"/>
    <mergeCell ref="N10:V10"/>
    <mergeCell ref="N14:V14"/>
    <mergeCell ref="M9:V9"/>
    <mergeCell ref="M1:V1"/>
    <mergeCell ref="N11:V11"/>
    <mergeCell ref="N12:V12"/>
    <mergeCell ref="N13:V13"/>
    <mergeCell ref="B149:E149"/>
    <mergeCell ref="F149:J149"/>
    <mergeCell ref="N19:V19"/>
    <mergeCell ref="N21:V21"/>
    <mergeCell ref="N33:V33"/>
    <mergeCell ref="N35:V35"/>
    <mergeCell ref="N37:V37"/>
    <mergeCell ref="N39:V39"/>
    <mergeCell ref="N23:V23"/>
    <mergeCell ref="N25:V25"/>
    <mergeCell ref="N27:V27"/>
    <mergeCell ref="N29:V29"/>
    <mergeCell ref="N31:V31"/>
    <mergeCell ref="M41:V41"/>
    <mergeCell ref="O89:U89"/>
  </mergeCells>
  <phoneticPr fontId="10" type="noConversion"/>
  <dataValidations count="48">
    <dataValidation type="list" allowBlank="1" showInputMessage="1" showErrorMessage="1" sqref="O3" xr:uid="{00000000-0002-0000-0000-000000000000}">
      <formula1>"Nederlands,English,Deutsch"</formula1>
    </dataValidation>
    <dataValidation type="list" allowBlank="1" showInputMessage="1" showErrorMessage="1" sqref="D107" xr:uid="{00000000-0002-0000-0000-000002000000}">
      <formula1>$BE$3:$BE$6</formula1>
    </dataValidation>
    <dataValidation type="list" allowBlank="1" showInputMessage="1" showErrorMessage="1" sqref="F101 D113" xr:uid="{00000000-0002-0000-0000-000003000000}">
      <formula1>$BE$9:$BE$12</formula1>
    </dataValidation>
    <dataValidation type="list" allowBlank="1" showInputMessage="1" showErrorMessage="1" sqref="D102 F104" xr:uid="{00000000-0002-0000-0000-000004000000}">
      <formula1>$BE$15:$BE$18</formula1>
    </dataValidation>
    <dataValidation type="list" allowBlank="1" showInputMessage="1" showErrorMessage="1" sqref="D114 D110" xr:uid="{00000000-0002-0000-0000-000005000000}">
      <formula1>$BE$21:$BE$24</formula1>
    </dataValidation>
    <dataValidation type="list" allowBlank="1" showInputMessage="1" showErrorMessage="1" sqref="D103 D105" xr:uid="{00000000-0002-0000-0000-000006000000}">
      <formula1>$BE$27:$BE$30</formula1>
    </dataValidation>
    <dataValidation type="list" allowBlank="1" showInputMessage="1" showErrorMessage="1" sqref="F102 D104" xr:uid="{00000000-0002-0000-0000-000007000000}">
      <formula1>$BE$33:$BE$36</formula1>
    </dataValidation>
    <dataValidation type="list" allowBlank="1" showInputMessage="1" showErrorMessage="1" sqref="D109 F114" xr:uid="{00000000-0002-0000-0000-000008000000}">
      <formula1>$BE$39:$BE$42</formula1>
    </dataValidation>
    <dataValidation type="list" allowBlank="1" showInputMessage="1" showErrorMessage="1" sqref="F115 D111" xr:uid="{00000000-0002-0000-0000-000009000000}">
      <formula1>$BE$45:$BE$48</formula1>
    </dataValidation>
    <dataValidation type="list" allowBlank="1" showInputMessage="1" showErrorMessage="1" sqref="G4:G9 G147 G143 G138:G139 G131:G134 G120:G127 G60:G65 G52:G57 G36:G41 G20:G25 G84:G89 G68:G73 I150:I1048576 G92:G97 G12:G17 G28:G33 G44:G49 G101:G116 G76:G81 I1:I148" xr:uid="{00000000-0002-0000-0000-000001000000}">
      <formula1>$BI$3:$BI$18</formula1>
    </dataValidation>
    <dataValidation type="list" allowBlank="1" showInputMessage="1" showErrorMessage="1" sqref="J4:J9 J101:J116 J76:J81 J84:J89 J68:J73 J92:J97 J147 J143 J138:J139 J131:J134 J120:J127 J60:J65 J52:J57 J44:J49 J36:J41 J28:J33 J20:J25 J12:J17" xr:uid="{00000000-0002-0000-0000-000011000000}">
      <formula1>$BI$4:$BI$6</formula1>
    </dataValidation>
    <dataValidation type="list" allowBlank="1" showInputMessage="1" showErrorMessage="1" sqref="N33:V33 N35:V35 N39:V39" xr:uid="{42858FF3-3AA1-4318-9AF4-6E4604650C34}">
      <formula1>$BH$3:$BH$28</formula1>
    </dataValidation>
    <dataValidation type="list" allowBlank="1" showInputMessage="1" showErrorMessage="1" sqref="D101 D120" xr:uid="{E7545AB0-9075-4DAC-BE44-EB2898B5D4AC}">
      <formula1>groepAB</formula1>
    </dataValidation>
    <dataValidation type="list" allowBlank="1" showInputMessage="1" showErrorMessage="1" sqref="F105 D106" xr:uid="{5575899F-F27C-4F47-A700-F318640AC21A}">
      <formula1>groepI</formula1>
    </dataValidation>
    <dataValidation type="list" allowBlank="1" showInputMessage="1" showErrorMessage="1" sqref="F111 D115" xr:uid="{861DAA6B-D5BF-4E2D-9663-BF5B1E363B99}">
      <formula1>groepJ</formula1>
    </dataValidation>
    <dataValidation type="list" allowBlank="1" showInputMessage="1" showErrorMessage="1" sqref="F112 D108" xr:uid="{CA8D7EB2-D4D2-4143-9C13-2D30EC1A5181}">
      <formula1>groepL</formula1>
    </dataValidation>
    <dataValidation type="list" allowBlank="1" showInputMessage="1" showErrorMessage="1" sqref="D112 D116" xr:uid="{9AC90A37-83CA-4CED-B9EB-62671F7E7687}">
      <formula1>groepK</formula1>
    </dataValidation>
    <dataValidation type="list" allowBlank="1" showInputMessage="1" showErrorMessage="1" sqref="F103" xr:uid="{D381E497-9178-4D61-B4B2-AA3FC55253C8}">
      <formula1>groepABCDF</formula1>
    </dataValidation>
    <dataValidation type="list" allowBlank="1" showInputMessage="1" showErrorMessage="1" sqref="F121" xr:uid="{305720CF-64A0-4A0D-B907-9E8518A2BA62}">
      <formula1>groepCDFGHI</formula1>
    </dataValidation>
    <dataValidation type="list" allowBlank="1" showInputMessage="1" showErrorMessage="1" sqref="F107" xr:uid="{39C805FA-AB19-43BF-A1A1-803EAD5EC17F}">
      <formula1>groepCEFHI</formula1>
    </dataValidation>
    <dataValidation type="list" allowBlank="1" showInputMessage="1" showErrorMessage="1" sqref="F108" xr:uid="{0F99AC3F-A08D-4C1F-A248-E3A119C6AF42}">
      <formula1>groepEHIJK</formula1>
    </dataValidation>
    <dataValidation type="list" allowBlank="1" showInputMessage="1" showErrorMessage="1" sqref="F109" xr:uid="{904D808B-E838-4953-877F-FBFCC34B858F}">
      <formula1>groepAEHIJ</formula1>
    </dataValidation>
    <dataValidation type="list" allowBlank="1" showInputMessage="1" showErrorMessage="1" sqref="F110" xr:uid="{14613381-9DA6-44A1-B5BF-FA9E250FACD0}">
      <formula1>groepBEFIJ</formula1>
    </dataValidation>
    <dataValidation type="list" allowBlank="1" showInputMessage="1" showErrorMessage="1" sqref="F113" xr:uid="{CDE05C51-9F25-41D8-9D70-7EC1B4CB848E}">
      <formula1>groepEFGIJ</formula1>
    </dataValidation>
    <dataValidation type="list" allowBlank="1" showInputMessage="1" showErrorMessage="1" sqref="F116" xr:uid="{F648259B-F35C-4CCD-8796-EEB1B1A026D3}">
      <formula1>groepDEIJL</formula1>
    </dataValidation>
    <dataValidation type="list" allowBlank="1" showInputMessage="1" showErrorMessage="1" sqref="N25:V25 N23:V23 N21:V21 N19:V19 F149:J149 F147 F143 D143:D144 D147" xr:uid="{23A5A972-82FF-42B4-A502-F8543134225F}">
      <formula1>Landen</formula1>
    </dataValidation>
    <dataValidation type="list" allowBlank="1" showInputMessage="1" showErrorMessage="1" sqref="F120 D122" xr:uid="{455DFFBB-2B7C-4FCE-BD2C-26572C9CDC86}">
      <formula1>groepCF</formula1>
    </dataValidation>
    <dataValidation type="list" allowBlank="1" showInputMessage="1" showErrorMessage="1" sqref="D121" xr:uid="{15954938-E803-40FA-A8A8-7C38C4319299}">
      <formula1>groepABCDEF</formula1>
    </dataValidation>
    <dataValidation type="list" allowBlank="1" showInputMessage="1" showErrorMessage="1" sqref="F122" xr:uid="{88940A64-0557-4653-BFFD-DC4E8818A91C}">
      <formula1>groepEI</formula1>
    </dataValidation>
    <dataValidation type="list" allowBlank="1" showInputMessage="1" showErrorMessage="1" sqref="D123" xr:uid="{50C8234E-EA6E-4EBE-9D93-DC737DC765C8}">
      <formula1>groepACEFHI</formula1>
    </dataValidation>
    <dataValidation type="list" allowBlank="1" showInputMessage="1" showErrorMessage="1" sqref="F123" xr:uid="{C79D6467-0207-47A8-BEA6-C6FDE5C446CB}">
      <formula1>groepEHIJKL</formula1>
    </dataValidation>
    <dataValidation type="list" allowBlank="1" showInputMessage="1" showErrorMessage="1" sqref="D124" xr:uid="{7BBF2CF1-4024-4C2A-BAFB-28C40FF77160}">
      <formula1>groepKL</formula1>
    </dataValidation>
    <dataValidation type="list" allowBlank="1" showInputMessage="1" showErrorMessage="1" sqref="F124 D126" xr:uid="{782E05D1-0E97-431E-A551-05969B3255C0}">
      <formula1>groepHJ</formula1>
    </dataValidation>
    <dataValidation type="list" allowBlank="1" showInputMessage="1" showErrorMessage="1" sqref="D125" xr:uid="{2A6D1AD1-CBE5-4627-BBDE-E2A94B88F28C}">
      <formula1>groepBDEFIJ</formula1>
    </dataValidation>
    <dataValidation type="list" allowBlank="1" showInputMessage="1" showErrorMessage="1" sqref="F125" xr:uid="{3A2194EF-6D9F-45C7-8D8D-B3416FD37E03}">
      <formula1>groepAEGHIJ</formula1>
    </dataValidation>
    <dataValidation type="list" allowBlank="1" showInputMessage="1" showErrorMessage="1" sqref="F126" xr:uid="{0B5FF880-03E1-43F1-9931-4007B5A9917D}">
      <formula1>groepDG</formula1>
    </dataValidation>
    <dataValidation type="list" allowBlank="1" showInputMessage="1" showErrorMessage="1" sqref="D127" xr:uid="{98BBF98B-E2C5-4516-9EEC-3465E05B9DA3}">
      <formula1>groepBEFGIJ</formula1>
    </dataValidation>
    <dataValidation type="list" allowBlank="1" showInputMessage="1" showErrorMessage="1" sqref="F127" xr:uid="{76A0D0C4-915E-45F2-BDE4-E01B95FE1DA0}">
      <formula1>groepDEIJKL</formula1>
    </dataValidation>
    <dataValidation type="list" allowBlank="1" showInputMessage="1" showErrorMessage="1" sqref="D131 D138" xr:uid="{2715098E-B07D-44D0-A9D2-66321C69AA19}">
      <formula1>groepABCDEFGHI</formula1>
    </dataValidation>
    <dataValidation type="list" allowBlank="1" showInputMessage="1" showErrorMessage="1" sqref="F131" xr:uid="{E8A6D1A0-1FC5-4C4F-A172-6CABC80D0AED}">
      <formula1>groepABCF</formula1>
    </dataValidation>
    <dataValidation type="list" allowBlank="1" showInputMessage="1" showErrorMessage="1" sqref="D132" xr:uid="{AFB34BF7-1409-460E-A801-848CE9F23DD1}">
      <formula1>groepHJKL</formula1>
    </dataValidation>
    <dataValidation type="list" allowBlank="1" showInputMessage="1" showErrorMessage="1" sqref="F132" xr:uid="{434DE1F4-1843-4B2C-BF3A-6D2CD30E62C2}">
      <formula1>groepABDEFGHIJ</formula1>
    </dataValidation>
    <dataValidation type="list" allowBlank="1" showInputMessage="1" showErrorMessage="1" sqref="D133" xr:uid="{44606051-251E-4B6A-A81B-35F603CC8C9C}">
      <formula1>groepCEFI</formula1>
    </dataValidation>
    <dataValidation type="list" allowBlank="1" showInputMessage="1" showErrorMessage="1" sqref="F133 D139" xr:uid="{98AF9C29-A50D-4626-9A57-B76BCAE149D6}">
      <formula1>groepACEFHIJKL</formula1>
    </dataValidation>
    <dataValidation type="list" allowBlank="1" showInputMessage="1" showErrorMessage="1" sqref="D134" xr:uid="{3925BAA9-403B-45BA-8342-A314FFD0AF23}">
      <formula1>groepBGJH</formula1>
    </dataValidation>
    <dataValidation type="list" allowBlank="1" showInputMessage="1" showErrorMessage="1" sqref="F134 F139" xr:uid="{E8BB4C8A-B04F-408F-AB53-B349157AE45C}">
      <formula1>groepBDEFGHIJKL</formula1>
    </dataValidation>
    <dataValidation type="list" allowBlank="1" showInputMessage="1" showErrorMessage="1" sqref="F138" xr:uid="{1600C269-40C1-4C60-89B8-AFE605904064}">
      <formula1>groepABDEFGHIJKL</formula1>
    </dataValidation>
    <dataValidation type="list" allowBlank="1" showInputMessage="1" showErrorMessage="1" sqref="F106" xr:uid="{AC2333FA-B3A9-4BC3-A15A-7EE6740595FC}">
      <formula1>groepCDFGH</formula1>
    </dataValidation>
  </dataValidations>
  <printOptions verticalCentered="1"/>
  <pageMargins left="0.43307086614173229" right="0.23622047244094491" top="0.43307086614173229" bottom="0.74803149606299213" header="0.51181102362204722" footer="0.51181102362204722"/>
  <pageSetup paperSize="9" scale="68" fitToHeight="3" orientation="landscape" horizontalDpi="4294967293" r:id="rId1"/>
  <headerFooter alignWithMargins="0">
    <oddFooter>&amp;R&amp;P/&amp;N</oddFooter>
  </headerFooter>
  <rowBreaks count="2" manualBreakCount="2">
    <brk id="50" max="22" man="1"/>
    <brk id="98" max="22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Blad2">
    <pageSetUpPr fitToPage="1"/>
  </sheetPr>
  <dimension ref="A1:T319"/>
  <sheetViews>
    <sheetView showGridLines="0" showRowColHeaders="0" zoomScaleNormal="100" zoomScaleSheetLayoutView="100" workbookViewId="0"/>
  </sheetViews>
  <sheetFormatPr defaultColWidth="0" defaultRowHeight="12.75" zeroHeight="1" x14ac:dyDescent="0.2"/>
  <cols>
    <col min="1" max="1" width="2" style="4" bestFit="1" customWidth="1"/>
    <col min="2" max="2" width="21.28515625" style="4" bestFit="1" customWidth="1"/>
    <col min="3" max="3" width="2.140625" style="4" bestFit="1" customWidth="1"/>
    <col min="4" max="4" width="21.28515625" style="4" hidden="1" customWidth="1"/>
    <col min="5" max="5" width="2" style="4" hidden="1" customWidth="1"/>
    <col min="6" max="6" width="25.5703125" style="4" hidden="1" customWidth="1"/>
    <col min="7" max="7" width="2" style="4" hidden="1" customWidth="1"/>
    <col min="8" max="8" width="24.5703125" style="4" hidden="1" customWidth="1"/>
    <col min="9" max="9" width="3.5703125" customWidth="1"/>
    <col min="10" max="16384" width="3.5703125" hidden="1"/>
  </cols>
  <sheetData>
    <row r="1" spans="1:20" x14ac:dyDescent="0.2">
      <c r="A1" s="39"/>
      <c r="B1" s="217" t="str">
        <f>IF(Groepsloting!$C$291=1,Groepsloting!D1,IF(Groepsloting!$C$291=2,IF(ISBLANK(Groepsloting!F1),Groepsloting!D1,Groepsloting!F1),IF(Groepsloting!$C$291=3,IF(ISBLANK(Groepsloting!H1),Groepsloting!D1,Groepsloting!H1),Groepsloting!D1)))</f>
        <v>Groep A</v>
      </c>
      <c r="C1" s="90"/>
      <c r="D1" s="101" t="s">
        <v>1</v>
      </c>
      <c r="E1" s="90"/>
      <c r="F1" s="101" t="s">
        <v>123</v>
      </c>
      <c r="G1" s="90"/>
      <c r="H1" s="101" t="s">
        <v>132</v>
      </c>
      <c r="I1" s="20"/>
    </row>
    <row r="2" spans="1:20" x14ac:dyDescent="0.2">
      <c r="A2" s="5">
        <v>1</v>
      </c>
      <c r="B2" s="6" t="str">
        <f>IF(Groepsloting!$C$291=1,Groepsloting!D2,IF(Groepsloting!$C$291=2,IF(ISBLANK(Groepsloting!F2),Groepsloting!D2,Groepsloting!F2),IF(Groepsloting!$C$291=3,IF(ISBLANK(Groepsloting!H2),Groepsloting!D2,Groepsloting!H2),Groepsloting!D2)))</f>
        <v>Mexico</v>
      </c>
      <c r="C2" s="90"/>
      <c r="D2" s="100" t="s">
        <v>36</v>
      </c>
      <c r="E2" s="90"/>
      <c r="F2" s="209" t="s">
        <v>36</v>
      </c>
      <c r="G2" s="209"/>
      <c r="H2" s="209" t="s">
        <v>134</v>
      </c>
      <c r="I2" s="20"/>
      <c r="P2" s="41"/>
      <c r="Q2" s="4"/>
      <c r="R2" s="41"/>
      <c r="S2" s="4"/>
      <c r="T2" s="41"/>
    </row>
    <row r="3" spans="1:20" x14ac:dyDescent="0.2">
      <c r="A3" s="5">
        <v>2</v>
      </c>
      <c r="B3" s="6" t="str">
        <f>IF(Groepsloting!$C$291=1,Groepsloting!D3,IF(Groepsloting!$C$291=2,IF(ISBLANK(Groepsloting!F3),Groepsloting!D3,Groepsloting!F3),IF(Groepsloting!$C$291=3,IF(ISBLANK(Groepsloting!H3),Groepsloting!D3,Groepsloting!H3),Groepsloting!D3)))</f>
        <v>Zuid-Afrika</v>
      </c>
      <c r="C3" s="90"/>
      <c r="D3" s="100" t="s">
        <v>409</v>
      </c>
      <c r="E3" s="90"/>
      <c r="F3" s="209" t="s">
        <v>646</v>
      </c>
      <c r="G3" s="209"/>
      <c r="H3" s="209" t="s">
        <v>648</v>
      </c>
      <c r="I3" s="20"/>
      <c r="P3" s="41"/>
      <c r="Q3" s="4"/>
      <c r="R3" s="41"/>
      <c r="S3" s="4"/>
      <c r="T3" s="41"/>
    </row>
    <row r="4" spans="1:20" x14ac:dyDescent="0.2">
      <c r="A4" s="5">
        <v>3</v>
      </c>
      <c r="B4" s="6" t="str">
        <f>IF(Groepsloting!$C$291=1,Groepsloting!D4,IF(Groepsloting!$C$291=2,IF(ISBLANK(Groepsloting!F4),Groepsloting!D4,Groepsloting!F4),IF(Groepsloting!$C$291=3,IF(ISBLANK(Groepsloting!H4),Groepsloting!D4,Groepsloting!H4),Groepsloting!D4)))</f>
        <v>Zuid-Korea</v>
      </c>
      <c r="C4" s="90"/>
      <c r="D4" s="100" t="s">
        <v>43</v>
      </c>
      <c r="E4" s="90"/>
      <c r="F4" s="209" t="s">
        <v>647</v>
      </c>
      <c r="G4" s="209"/>
      <c r="H4" s="209" t="s">
        <v>649</v>
      </c>
      <c r="I4" s="20"/>
      <c r="P4" s="41"/>
      <c r="Q4" s="4"/>
      <c r="R4" s="41"/>
      <c r="S4" s="4"/>
      <c r="T4" s="41"/>
    </row>
    <row r="5" spans="1:20" x14ac:dyDescent="0.2">
      <c r="A5" s="5">
        <v>4</v>
      </c>
      <c r="B5" s="38" t="str">
        <f>IF(Groepsloting!$C$291=1,Groepsloting!D5,IF(Groepsloting!$C$291=2,IF(ISBLANK(Groepsloting!F5),Groepsloting!D5,Groepsloting!F5),IF(Groepsloting!$C$291=3,IF(ISBLANK(Groepsloting!H5),Groepsloting!D5,Groepsloting!H5),Groepsloting!D5)))</f>
        <v>Tsjechië</v>
      </c>
      <c r="C5" s="90"/>
      <c r="D5" s="100" t="s">
        <v>713</v>
      </c>
      <c r="E5" s="90"/>
      <c r="F5" s="225" t="s">
        <v>721</v>
      </c>
      <c r="G5" s="209"/>
      <c r="H5" s="209" t="s">
        <v>714</v>
      </c>
      <c r="I5" s="20"/>
      <c r="P5" s="42"/>
      <c r="Q5" s="4"/>
      <c r="R5" s="42"/>
      <c r="S5" s="4"/>
      <c r="T5" s="42"/>
    </row>
    <row r="6" spans="1:20" x14ac:dyDescent="0.2">
      <c r="B6" s="3"/>
      <c r="C6" s="90"/>
      <c r="D6" s="90"/>
      <c r="E6" s="90"/>
      <c r="F6" s="90"/>
      <c r="G6" s="90"/>
      <c r="H6" s="90"/>
      <c r="I6" s="20"/>
      <c r="P6" s="4"/>
      <c r="Q6" s="4"/>
      <c r="R6" s="4"/>
      <c r="S6" s="4"/>
      <c r="T6" s="4"/>
    </row>
    <row r="7" spans="1:20" x14ac:dyDescent="0.2">
      <c r="A7" s="39"/>
      <c r="B7" s="217" t="str">
        <f>IF(Groepsloting!$C$291=1,Groepsloting!D7,IF(Groepsloting!$C$291=2,IF(ISBLANK(Groepsloting!F7),Groepsloting!D7,Groepsloting!F7),IF(Groepsloting!$C$291=3,IF(ISBLANK(Groepsloting!H7),Groepsloting!D7,Groepsloting!H7),Groepsloting!D7)))</f>
        <v>Groep B</v>
      </c>
      <c r="C7" s="90"/>
      <c r="D7" s="101" t="s">
        <v>6</v>
      </c>
      <c r="E7" s="90"/>
      <c r="F7" s="101" t="s">
        <v>124</v>
      </c>
      <c r="G7" s="90"/>
      <c r="H7" s="101" t="s">
        <v>142</v>
      </c>
      <c r="I7" s="20"/>
      <c r="P7" s="40"/>
      <c r="Q7" s="4"/>
      <c r="R7" s="40"/>
      <c r="S7" s="4"/>
      <c r="T7" s="40"/>
    </row>
    <row r="8" spans="1:20" x14ac:dyDescent="0.2">
      <c r="A8" s="5">
        <v>1</v>
      </c>
      <c r="B8" s="6" t="str">
        <f>IF(Groepsloting!$C$291=1,Groepsloting!D8,IF(Groepsloting!$C$291=2,IF(ISBLANK(Groepsloting!F8),Groepsloting!D8,Groepsloting!F8),IF(Groepsloting!$C$291=3,IF(ISBLANK(Groepsloting!H8),Groepsloting!D8,Groepsloting!H8),Groepsloting!D8)))</f>
        <v>Canada</v>
      </c>
      <c r="C8" s="90"/>
      <c r="D8" s="100" t="s">
        <v>355</v>
      </c>
      <c r="E8" s="90"/>
      <c r="F8" s="209" t="s">
        <v>355</v>
      </c>
      <c r="G8" s="209"/>
      <c r="H8" s="209" t="s">
        <v>356</v>
      </c>
      <c r="I8" s="20"/>
      <c r="P8" s="41"/>
      <c r="Q8" s="4"/>
      <c r="R8" s="41"/>
      <c r="S8" s="4"/>
      <c r="T8" s="41"/>
    </row>
    <row r="9" spans="1:20" x14ac:dyDescent="0.2">
      <c r="A9" s="5">
        <v>2</v>
      </c>
      <c r="B9" s="6" t="str">
        <f>IF(Groepsloting!$C$291=1,Groepsloting!D9,IF(Groepsloting!$C$291=2,IF(ISBLANK(Groepsloting!F9),Groepsloting!D9,Groepsloting!F9),IF(Groepsloting!$C$291=3,IF(ISBLANK(Groepsloting!H9),Groepsloting!D9,Groepsloting!H9),Groepsloting!D9)))</f>
        <v>Qatar</v>
      </c>
      <c r="C9" s="90"/>
      <c r="D9" s="100" t="s">
        <v>351</v>
      </c>
      <c r="E9" s="90"/>
      <c r="F9" s="209" t="s">
        <v>351</v>
      </c>
      <c r="G9" s="209"/>
      <c r="H9" s="209" t="s">
        <v>650</v>
      </c>
      <c r="I9" s="20"/>
      <c r="P9" s="41"/>
      <c r="Q9" s="4"/>
      <c r="R9" s="41"/>
      <c r="S9" s="4"/>
      <c r="T9" s="41"/>
    </row>
    <row r="10" spans="1:20" x14ac:dyDescent="0.2">
      <c r="A10" s="5">
        <v>3</v>
      </c>
      <c r="B10" s="6" t="str">
        <f>IF(Groepsloting!$C$291=1,Groepsloting!D10,IF(Groepsloting!$C$291=2,IF(ISBLANK(Groepsloting!F10),Groepsloting!D10,Groepsloting!F10),IF(Groepsloting!$C$291=3,IF(ISBLANK(Groepsloting!H10),Groepsloting!D10,Groepsloting!H10),Groepsloting!D10)))</f>
        <v>Zwitserland</v>
      </c>
      <c r="C10" s="90"/>
      <c r="D10" s="100" t="s">
        <v>42</v>
      </c>
      <c r="E10" s="90"/>
      <c r="F10" s="209" t="s">
        <v>651</v>
      </c>
      <c r="G10" s="209"/>
      <c r="H10" s="209" t="s">
        <v>137</v>
      </c>
      <c r="I10" s="20"/>
      <c r="P10" s="41"/>
      <c r="Q10" s="4"/>
      <c r="R10" s="41"/>
      <c r="S10" s="4"/>
      <c r="T10" s="41"/>
    </row>
    <row r="11" spans="1:20" x14ac:dyDescent="0.2">
      <c r="A11" s="5">
        <v>4</v>
      </c>
      <c r="B11" s="6" t="str">
        <f>IF(Groepsloting!$C$291=1,Groepsloting!D11,IF(Groepsloting!$C$291=2,IF(ISBLANK(Groepsloting!F11),Groepsloting!D11,Groepsloting!F11),IF(Groepsloting!$C$291=3,IF(ISBLANK(Groepsloting!H11),Groepsloting!D11,Groepsloting!H11),Groepsloting!D11)))</f>
        <v>Bosnië-Herzegovina</v>
      </c>
      <c r="C11" s="90"/>
      <c r="D11" s="100" t="s">
        <v>717</v>
      </c>
      <c r="E11" s="90"/>
      <c r="F11" s="225" t="s">
        <v>716</v>
      </c>
      <c r="G11" s="209"/>
      <c r="H11" s="225" t="s">
        <v>715</v>
      </c>
      <c r="I11" s="20"/>
      <c r="P11" s="41"/>
      <c r="Q11" s="4"/>
      <c r="R11" s="41"/>
      <c r="S11" s="4"/>
      <c r="T11" s="41"/>
    </row>
    <row r="12" spans="1:20" x14ac:dyDescent="0.2">
      <c r="A12" s="3"/>
      <c r="B12" s="3"/>
      <c r="C12" s="90"/>
      <c r="D12" s="90"/>
      <c r="E12" s="90"/>
      <c r="F12" s="90"/>
      <c r="G12" s="90"/>
      <c r="H12" s="90"/>
      <c r="I12" s="20"/>
      <c r="P12" s="4"/>
      <c r="Q12" s="4"/>
      <c r="R12" s="4"/>
      <c r="S12" s="4"/>
      <c r="T12" s="4"/>
    </row>
    <row r="13" spans="1:20" x14ac:dyDescent="0.2">
      <c r="A13" s="39"/>
      <c r="B13" s="217" t="str">
        <f>IF(Groepsloting!$C$291=1,Groepsloting!D13,IF(Groepsloting!$C$291=2,IF(ISBLANK(Groepsloting!F13),Groepsloting!D13,Groepsloting!F13),IF(Groepsloting!$C$291=3,IF(ISBLANK(Groepsloting!H13),Groepsloting!D13,Groepsloting!H13),Groepsloting!D13)))</f>
        <v>Groep C</v>
      </c>
      <c r="C13" s="90"/>
      <c r="D13" s="101" t="s">
        <v>7</v>
      </c>
      <c r="E13" s="90"/>
      <c r="F13" s="101" t="s">
        <v>125</v>
      </c>
      <c r="G13" s="90"/>
      <c r="H13" s="101" t="s">
        <v>143</v>
      </c>
      <c r="I13" s="20"/>
      <c r="P13" s="40"/>
      <c r="Q13" s="4"/>
      <c r="R13" s="40"/>
      <c r="S13" s="4"/>
      <c r="T13" s="40"/>
    </row>
    <row r="14" spans="1:20" x14ac:dyDescent="0.2">
      <c r="A14" s="5">
        <v>1</v>
      </c>
      <c r="B14" s="6" t="str">
        <f>IF(Groepsloting!$C$291=1,Groepsloting!D14,IF(Groepsloting!$C$291=2,IF(ISBLANK(Groepsloting!F14),Groepsloting!D14,Groepsloting!F14),IF(Groepsloting!$C$291=3,IF(ISBLANK(Groepsloting!H14),Groepsloting!D14,Groepsloting!H14),Groepsloting!D14)))</f>
        <v>Brazilië</v>
      </c>
      <c r="C14" s="90"/>
      <c r="D14" s="100" t="s">
        <v>38</v>
      </c>
      <c r="E14" s="90"/>
      <c r="F14" s="209" t="s">
        <v>115</v>
      </c>
      <c r="G14" s="209"/>
      <c r="H14" s="209" t="s">
        <v>131</v>
      </c>
      <c r="I14" s="20"/>
      <c r="P14" s="41"/>
      <c r="Q14" s="4"/>
      <c r="R14" s="41"/>
      <c r="S14" s="4"/>
      <c r="T14" s="41"/>
    </row>
    <row r="15" spans="1:20" x14ac:dyDescent="0.2">
      <c r="A15" s="5">
        <v>2</v>
      </c>
      <c r="B15" s="6" t="str">
        <f>IF(Groepsloting!$C$291=1,Groepsloting!D15,IF(Groepsloting!$C$291=2,IF(ISBLANK(Groepsloting!F15),Groepsloting!D15,Groepsloting!F15),IF(Groepsloting!$C$291=3,IF(ISBLANK(Groepsloting!H15),Groepsloting!D15,Groepsloting!H15),Groepsloting!D15)))</f>
        <v>Marokko</v>
      </c>
      <c r="C15" s="90"/>
      <c r="D15" s="100" t="s">
        <v>193</v>
      </c>
      <c r="E15" s="20"/>
      <c r="F15" s="209" t="s">
        <v>198</v>
      </c>
      <c r="G15" s="209"/>
      <c r="H15" s="209" t="s">
        <v>193</v>
      </c>
      <c r="I15" s="20"/>
      <c r="P15" s="41"/>
      <c r="Q15" s="4"/>
      <c r="R15" s="41"/>
      <c r="S15" s="4"/>
      <c r="T15" s="41"/>
    </row>
    <row r="16" spans="1:20" x14ac:dyDescent="0.2">
      <c r="A16" s="5">
        <v>3</v>
      </c>
      <c r="B16" s="6" t="str">
        <f>IF(Groepsloting!$C$291=1,Groepsloting!D16,IF(Groepsloting!$C$291=2,IF(ISBLANK(Groepsloting!F16),Groepsloting!D16,Groepsloting!F16),IF(Groepsloting!$C$291=3,IF(ISBLANK(Groepsloting!H16),Groepsloting!D16,Groepsloting!H16),Groepsloting!D16)))</f>
        <v>Haïti</v>
      </c>
      <c r="C16" s="90"/>
      <c r="D16" s="100" t="s">
        <v>410</v>
      </c>
      <c r="E16" s="90"/>
      <c r="F16" s="209" t="s">
        <v>652</v>
      </c>
      <c r="G16" s="209"/>
      <c r="H16" s="209" t="s">
        <v>652</v>
      </c>
      <c r="I16" s="20"/>
      <c r="P16" s="41"/>
      <c r="Q16" s="4"/>
      <c r="R16" s="41"/>
      <c r="S16" s="4"/>
      <c r="T16" s="41"/>
    </row>
    <row r="17" spans="1:20" x14ac:dyDescent="0.2">
      <c r="A17" s="5">
        <v>4</v>
      </c>
      <c r="B17" s="6" t="str">
        <f>IF(Groepsloting!$C$291=1,Groepsloting!D17,IF(Groepsloting!$C$291=2,IF(ISBLANK(Groepsloting!F17),Groepsloting!D17,Groepsloting!F17),IF(Groepsloting!$C$291=3,IF(ISBLANK(Groepsloting!H17),Groepsloting!D17,Groepsloting!H17),Groepsloting!D17)))</f>
        <v>Schotland</v>
      </c>
      <c r="C17" s="90"/>
      <c r="D17" s="100" t="s">
        <v>411</v>
      </c>
      <c r="E17" s="90"/>
      <c r="F17" s="209" t="s">
        <v>653</v>
      </c>
      <c r="G17" s="209"/>
      <c r="H17" s="209" t="s">
        <v>654</v>
      </c>
      <c r="I17" s="20"/>
      <c r="P17" s="41"/>
      <c r="Q17" s="4"/>
      <c r="R17" s="41"/>
      <c r="S17" s="4"/>
      <c r="T17" s="41"/>
    </row>
    <row r="18" spans="1:20" x14ac:dyDescent="0.2">
      <c r="B18" s="3"/>
      <c r="C18" s="90"/>
      <c r="D18" s="90"/>
      <c r="E18" s="90"/>
      <c r="F18" s="90"/>
      <c r="G18" s="90"/>
      <c r="H18" s="90"/>
      <c r="I18" s="20"/>
      <c r="P18" s="4"/>
      <c r="Q18" s="4"/>
      <c r="R18" s="4"/>
      <c r="S18" s="4"/>
      <c r="T18" s="4"/>
    </row>
    <row r="19" spans="1:20" x14ac:dyDescent="0.2">
      <c r="A19" s="39"/>
      <c r="B19" s="217" t="str">
        <f>IF(Groepsloting!$C$291=1,Groepsloting!D19,IF(Groepsloting!$C$291=2,IF(ISBLANK(Groepsloting!F19),Groepsloting!D19,Groepsloting!F19),IF(Groepsloting!$C$291=3,IF(ISBLANK(Groepsloting!H19),Groepsloting!D19,Groepsloting!H19),Groepsloting!D19)))</f>
        <v>Groep D</v>
      </c>
      <c r="C19" s="90"/>
      <c r="D19" s="101" t="s">
        <v>8</v>
      </c>
      <c r="E19" s="90"/>
      <c r="F19" s="101" t="s">
        <v>126</v>
      </c>
      <c r="G19" s="90"/>
      <c r="H19" s="101" t="s">
        <v>144</v>
      </c>
      <c r="I19" s="20"/>
      <c r="P19" s="40"/>
      <c r="Q19" s="4"/>
      <c r="R19" s="40"/>
      <c r="S19" s="4"/>
      <c r="T19" s="40"/>
    </row>
    <row r="20" spans="1:20" x14ac:dyDescent="0.2">
      <c r="A20" s="5">
        <v>1</v>
      </c>
      <c r="B20" s="6" t="str">
        <f>IF(Groepsloting!$C$291=1,Groepsloting!D20,IF(Groepsloting!$C$291=2,IF(ISBLANK(Groepsloting!F20),Groepsloting!D20,Groepsloting!F20),IF(Groepsloting!$C$291=3,IF(ISBLANK(Groepsloting!H20),Groepsloting!D20,Groepsloting!H20),Groepsloting!D20)))</f>
        <v>Verenigde Staten</v>
      </c>
      <c r="C20" s="90"/>
      <c r="D20" s="100" t="s">
        <v>354</v>
      </c>
      <c r="E20" s="20"/>
      <c r="F20" s="209" t="s">
        <v>655</v>
      </c>
      <c r="G20" s="209"/>
      <c r="H20" s="209" t="s">
        <v>656</v>
      </c>
      <c r="I20" s="20"/>
      <c r="P20" s="41"/>
      <c r="Q20" s="4"/>
      <c r="R20" s="41"/>
      <c r="S20" s="4"/>
      <c r="T20" s="41"/>
    </row>
    <row r="21" spans="1:20" x14ac:dyDescent="0.2">
      <c r="A21" s="5">
        <v>2</v>
      </c>
      <c r="B21" s="6" t="str">
        <f>IF(Groepsloting!$C$291=1,Groepsloting!D21,IF(Groepsloting!$C$291=2,IF(ISBLANK(Groepsloting!F21),Groepsloting!D21,Groepsloting!F21),IF(Groepsloting!$C$291=3,IF(ISBLANK(Groepsloting!H21),Groepsloting!D21,Groepsloting!H21),Groepsloting!D21)))</f>
        <v>Paraguay</v>
      </c>
      <c r="C21" s="90"/>
      <c r="D21" s="100" t="s">
        <v>422</v>
      </c>
      <c r="E21" s="20"/>
      <c r="F21" s="209" t="s">
        <v>422</v>
      </c>
      <c r="G21" s="209"/>
      <c r="H21" s="209" t="s">
        <v>422</v>
      </c>
      <c r="I21" s="20"/>
      <c r="P21" s="41"/>
      <c r="Q21" s="4"/>
      <c r="R21" s="41"/>
      <c r="S21" s="4"/>
      <c r="T21" s="41"/>
    </row>
    <row r="22" spans="1:20" x14ac:dyDescent="0.2">
      <c r="A22" s="5">
        <v>3</v>
      </c>
      <c r="B22" s="6" t="str">
        <f>IF(Groepsloting!$C$291=1,Groepsloting!D22,IF(Groepsloting!$C$291=2,IF(ISBLANK(Groepsloting!F22),Groepsloting!D22,Groepsloting!F22),IF(Groepsloting!$C$291=3,IF(ISBLANK(Groepsloting!H22),Groepsloting!D22,Groepsloting!H22),Groepsloting!D22)))</f>
        <v>Australië</v>
      </c>
      <c r="C22" s="90"/>
      <c r="D22" s="100" t="s">
        <v>39</v>
      </c>
      <c r="E22" s="20"/>
      <c r="F22" s="209" t="s">
        <v>118</v>
      </c>
      <c r="G22" s="209"/>
      <c r="H22" s="209" t="s">
        <v>136</v>
      </c>
      <c r="I22" s="20"/>
      <c r="P22" s="4"/>
      <c r="Q22" s="4"/>
      <c r="R22" s="4"/>
      <c r="S22" s="4"/>
      <c r="T22" s="4"/>
    </row>
    <row r="23" spans="1:20" x14ac:dyDescent="0.2">
      <c r="A23" s="5">
        <v>4</v>
      </c>
      <c r="B23" s="6" t="str">
        <f>IF(Groepsloting!$C$291=1,Groepsloting!D23,IF(Groepsloting!$C$291=2,IF(ISBLANK(Groepsloting!F23),Groepsloting!D23,Groepsloting!F23),IF(Groepsloting!$C$291=3,IF(ISBLANK(Groepsloting!H23),Groepsloting!D23,Groepsloting!H23),Groepsloting!D23)))</f>
        <v>Turkije</v>
      </c>
      <c r="C23" s="90"/>
      <c r="D23" s="100" t="s">
        <v>719</v>
      </c>
      <c r="E23" s="20"/>
      <c r="F23" s="225" t="s">
        <v>718</v>
      </c>
      <c r="G23" s="209"/>
      <c r="H23" s="225" t="s">
        <v>720</v>
      </c>
      <c r="I23" s="20"/>
      <c r="P23" s="41"/>
      <c r="Q23" s="4"/>
      <c r="R23" s="41"/>
      <c r="S23" s="4"/>
      <c r="T23" s="41"/>
    </row>
    <row r="24" spans="1:20" x14ac:dyDescent="0.2">
      <c r="C24" s="90"/>
      <c r="D24" s="90"/>
      <c r="E24" s="90"/>
      <c r="F24" s="90"/>
      <c r="G24" s="90"/>
      <c r="H24" s="90"/>
      <c r="I24" s="20"/>
      <c r="P24" s="4"/>
      <c r="Q24" s="4"/>
      <c r="R24" s="4"/>
      <c r="S24" s="4"/>
      <c r="T24" s="4"/>
    </row>
    <row r="25" spans="1:20" x14ac:dyDescent="0.2">
      <c r="A25" s="39"/>
      <c r="B25" s="217" t="str">
        <f>IF(Groepsloting!$C$291=1,Groepsloting!D25,IF(Groepsloting!$C$291=2,IF(ISBLANK(Groepsloting!F25),Groepsloting!D25,Groepsloting!F25),IF(Groepsloting!$C$291=3,IF(ISBLANK(Groepsloting!H25),Groepsloting!D25,Groepsloting!H25),Groepsloting!D25)))</f>
        <v>Groep E</v>
      </c>
      <c r="C25" s="90"/>
      <c r="D25" s="101" t="s">
        <v>9</v>
      </c>
      <c r="E25" s="90"/>
      <c r="F25" s="101" t="s">
        <v>127</v>
      </c>
      <c r="G25" s="90"/>
      <c r="H25" s="101" t="s">
        <v>145</v>
      </c>
      <c r="I25" s="20"/>
      <c r="P25" s="40"/>
      <c r="Q25" s="4"/>
      <c r="R25" s="40"/>
      <c r="S25" s="4"/>
      <c r="T25" s="40"/>
    </row>
    <row r="26" spans="1:20" x14ac:dyDescent="0.2">
      <c r="A26" s="5">
        <v>1</v>
      </c>
      <c r="B26" s="6" t="str">
        <f>IF(Groepsloting!$C$291=1,Groepsloting!D26,IF(Groepsloting!$C$291=2,IF(ISBLANK(Groepsloting!F26),Groepsloting!D26,Groepsloting!F26),IF(Groepsloting!$C$291=3,IF(ISBLANK(Groepsloting!H26),Groepsloting!D26,Groepsloting!H26),Groepsloting!D26)))</f>
        <v>Duitsland</v>
      </c>
      <c r="C26" s="90"/>
      <c r="D26" s="100" t="s">
        <v>33</v>
      </c>
      <c r="E26" s="20"/>
      <c r="F26" s="209" t="s">
        <v>199</v>
      </c>
      <c r="G26" s="209"/>
      <c r="H26" s="209" t="s">
        <v>140</v>
      </c>
      <c r="I26" s="20"/>
      <c r="P26" s="41"/>
      <c r="Q26" s="4"/>
      <c r="R26" s="41"/>
      <c r="S26" s="4"/>
      <c r="T26" s="41"/>
    </row>
    <row r="27" spans="1:20" x14ac:dyDescent="0.2">
      <c r="A27" s="5">
        <v>2</v>
      </c>
      <c r="B27" s="6" t="str">
        <f>IF(Groepsloting!$C$291=1,Groepsloting!D27,IF(Groepsloting!$C$291=2,IF(ISBLANK(Groepsloting!F27),Groepsloting!D27,Groepsloting!F27),IF(Groepsloting!$C$291=3,IF(ISBLANK(Groepsloting!H27),Groepsloting!D27,Groepsloting!H27),Groepsloting!D27)))</f>
        <v>Curaçao</v>
      </c>
      <c r="C27" s="90"/>
      <c r="D27" s="100" t="s">
        <v>412</v>
      </c>
      <c r="E27" s="20"/>
      <c r="F27" s="209" t="s">
        <v>412</v>
      </c>
      <c r="G27" s="209"/>
      <c r="H27" s="209" t="s">
        <v>412</v>
      </c>
      <c r="I27" s="20"/>
      <c r="P27" s="41"/>
      <c r="Q27" s="4"/>
      <c r="R27" s="41"/>
      <c r="S27" s="4"/>
      <c r="T27" s="41"/>
    </row>
    <row r="28" spans="1:20" x14ac:dyDescent="0.2">
      <c r="A28" s="5">
        <v>3</v>
      </c>
      <c r="B28" s="6" t="str">
        <f>IF(Groepsloting!$C$291=1,Groepsloting!D28,IF(Groepsloting!$C$291=2,IF(ISBLANK(Groepsloting!F28),Groepsloting!D28,Groepsloting!F28),IF(Groepsloting!$C$291=3,IF(ISBLANK(Groepsloting!H28),Groepsloting!D28,Groepsloting!H28),Groepsloting!D28)))</f>
        <v>Ivoorkust</v>
      </c>
      <c r="C28" s="90"/>
      <c r="D28" s="100" t="s">
        <v>413</v>
      </c>
      <c r="E28" s="20"/>
      <c r="F28" s="225" t="s">
        <v>722</v>
      </c>
      <c r="G28" s="209"/>
      <c r="H28" s="209" t="s">
        <v>657</v>
      </c>
      <c r="I28" s="20"/>
      <c r="P28" s="41"/>
      <c r="Q28" s="4"/>
      <c r="R28" s="41"/>
      <c r="S28" s="4"/>
      <c r="T28" s="41"/>
    </row>
    <row r="29" spans="1:20" x14ac:dyDescent="0.2">
      <c r="A29" s="5">
        <v>4</v>
      </c>
      <c r="B29" s="6" t="str">
        <f>IF(Groepsloting!$C$291=1,Groepsloting!D29,IF(Groepsloting!$C$291=2,IF(ISBLANK(Groepsloting!F29),Groepsloting!D29,Groepsloting!F29),IF(Groepsloting!$C$291=3,IF(ISBLANK(Groepsloting!H29),Groepsloting!D29,Groepsloting!H29),Groepsloting!D29)))</f>
        <v>Ecuador</v>
      </c>
      <c r="C29" s="90"/>
      <c r="D29" s="100" t="s">
        <v>352</v>
      </c>
      <c r="E29" s="90"/>
      <c r="F29" s="209" t="s">
        <v>352</v>
      </c>
      <c r="G29" s="209"/>
      <c r="H29" s="209" t="s">
        <v>352</v>
      </c>
      <c r="I29" s="20"/>
      <c r="P29" s="41"/>
      <c r="Q29" s="4"/>
      <c r="R29" s="41"/>
      <c r="S29" s="4"/>
      <c r="T29" s="41"/>
    </row>
    <row r="30" spans="1:20" x14ac:dyDescent="0.2">
      <c r="B30" s="3"/>
      <c r="C30" s="90"/>
      <c r="D30" s="90"/>
      <c r="E30" s="90"/>
      <c r="F30" s="90"/>
      <c r="G30" s="90"/>
      <c r="H30" s="90"/>
      <c r="I30" s="20"/>
      <c r="P30" s="4"/>
      <c r="Q30" s="4"/>
      <c r="R30" s="4"/>
      <c r="S30" s="4"/>
      <c r="T30" s="4"/>
    </row>
    <row r="31" spans="1:20" x14ac:dyDescent="0.2">
      <c r="A31" s="39"/>
      <c r="B31" s="217" t="str">
        <f>IF(Groepsloting!$C$291=1,Groepsloting!D31,IF(Groepsloting!$C$291=2,IF(ISBLANK(Groepsloting!F31),Groepsloting!D31,Groepsloting!F31),IF(Groepsloting!$C$291=3,IF(ISBLANK(Groepsloting!H31),Groepsloting!D31,Groepsloting!H31),Groepsloting!D31)))</f>
        <v>Groep F</v>
      </c>
      <c r="C31" s="90"/>
      <c r="D31" s="101" t="s">
        <v>10</v>
      </c>
      <c r="E31" s="90"/>
      <c r="F31" s="101" t="s">
        <v>128</v>
      </c>
      <c r="G31" s="90"/>
      <c r="H31" s="101" t="s">
        <v>146</v>
      </c>
      <c r="I31" s="20"/>
      <c r="P31" s="40"/>
      <c r="Q31" s="4"/>
      <c r="R31" s="40"/>
      <c r="S31" s="4"/>
      <c r="T31" s="40"/>
    </row>
    <row r="32" spans="1:20" x14ac:dyDescent="0.2">
      <c r="A32" s="5">
        <v>1</v>
      </c>
      <c r="B32" s="6" t="str">
        <f>IF(Groepsloting!$C$291=1,Groepsloting!D32,IF(Groepsloting!$C$291=2,IF(ISBLANK(Groepsloting!F32),Groepsloting!D32,Groepsloting!F32),IF(Groepsloting!$C$291=3,IF(ISBLANK(Groepsloting!H32),Groepsloting!D32,Groepsloting!H32),Groepsloting!D32)))</f>
        <v>Nederland</v>
      </c>
      <c r="C32" s="90"/>
      <c r="D32" s="100" t="s">
        <v>353</v>
      </c>
      <c r="E32" s="90"/>
      <c r="F32" s="209" t="s">
        <v>373</v>
      </c>
      <c r="G32" s="209"/>
      <c r="H32" s="209" t="s">
        <v>374</v>
      </c>
      <c r="I32" s="20"/>
      <c r="P32" s="41"/>
      <c r="Q32" s="4"/>
      <c r="R32" s="41"/>
      <c r="S32" s="4"/>
      <c r="T32" s="41"/>
    </row>
    <row r="33" spans="1:20" x14ac:dyDescent="0.2">
      <c r="A33" s="5">
        <v>2</v>
      </c>
      <c r="B33" s="6" t="str">
        <f>IF(Groepsloting!$C$291=1,Groepsloting!D33,IF(Groepsloting!$C$291=2,IF(ISBLANK(Groepsloting!F33),Groepsloting!D33,Groepsloting!F33),IF(Groepsloting!$C$291=3,IF(ISBLANK(Groepsloting!H33),Groepsloting!D33,Groepsloting!H33),Groepsloting!D33)))</f>
        <v>Japan</v>
      </c>
      <c r="C33" s="90"/>
      <c r="D33" s="100" t="s">
        <v>40</v>
      </c>
      <c r="E33" s="90"/>
      <c r="F33" s="209" t="s">
        <v>40</v>
      </c>
      <c r="G33" s="209"/>
      <c r="H33" s="209" t="s">
        <v>40</v>
      </c>
      <c r="I33" s="20"/>
      <c r="P33" s="41"/>
      <c r="Q33" s="4"/>
      <c r="R33" s="41"/>
      <c r="S33" s="4"/>
      <c r="T33" s="41"/>
    </row>
    <row r="34" spans="1:20" x14ac:dyDescent="0.2">
      <c r="A34" s="5">
        <v>3</v>
      </c>
      <c r="B34" s="6" t="str">
        <f>IF(Groepsloting!$C$291=1,Groepsloting!D34,IF(Groepsloting!$C$291=2,IF(ISBLANK(Groepsloting!F34),Groepsloting!D34,Groepsloting!F34),IF(Groepsloting!$C$291=3,IF(ISBLANK(Groepsloting!H34),Groepsloting!D34,Groepsloting!H34),Groepsloting!D34)))</f>
        <v>Tunesië</v>
      </c>
      <c r="C34" s="90"/>
      <c r="D34" s="100" t="s">
        <v>194</v>
      </c>
      <c r="E34" s="20"/>
      <c r="F34" s="209" t="s">
        <v>200</v>
      </c>
      <c r="G34" s="209"/>
      <c r="H34" s="209" t="s">
        <v>201</v>
      </c>
      <c r="I34" s="20"/>
      <c r="P34" s="41"/>
      <c r="Q34" s="4"/>
      <c r="R34" s="41"/>
      <c r="S34" s="4"/>
      <c r="T34" s="41"/>
    </row>
    <row r="35" spans="1:20" x14ac:dyDescent="0.2">
      <c r="A35" s="5">
        <v>4</v>
      </c>
      <c r="B35" s="6" t="str">
        <f>IF(Groepsloting!$C$291=1,Groepsloting!D35,IF(Groepsloting!$C$291=2,IF(ISBLANK(Groepsloting!F35),Groepsloting!D35,Groepsloting!F35),IF(Groepsloting!$C$291=3,IF(ISBLANK(Groepsloting!H35),Groepsloting!D35,Groepsloting!H35),Groepsloting!D35)))</f>
        <v>Zweden</v>
      </c>
      <c r="C35" s="90"/>
      <c r="D35" s="100" t="s">
        <v>724</v>
      </c>
      <c r="E35" s="20"/>
      <c r="F35" s="225" t="s">
        <v>723</v>
      </c>
      <c r="G35" s="209"/>
      <c r="H35" s="225" t="s">
        <v>725</v>
      </c>
      <c r="I35" s="20"/>
      <c r="P35" s="41"/>
      <c r="Q35" s="4"/>
      <c r="R35" s="41"/>
      <c r="S35" s="4"/>
      <c r="T35" s="41"/>
    </row>
    <row r="36" spans="1:20" x14ac:dyDescent="0.2">
      <c r="A36" s="3"/>
      <c r="B36" s="3"/>
      <c r="C36" s="90"/>
      <c r="D36" s="90"/>
      <c r="E36" s="90"/>
      <c r="F36" s="90"/>
      <c r="G36" s="90"/>
      <c r="H36" s="90"/>
      <c r="I36" s="20"/>
      <c r="P36" s="4"/>
      <c r="Q36" s="4"/>
      <c r="R36" s="4"/>
      <c r="S36" s="4"/>
      <c r="T36" s="4"/>
    </row>
    <row r="37" spans="1:20" x14ac:dyDescent="0.2">
      <c r="A37" s="39"/>
      <c r="B37" s="217" t="str">
        <f>IF(Groepsloting!$C$291=1,Groepsloting!D37,IF(Groepsloting!$C$291=2,IF(ISBLANK(Groepsloting!F37),Groepsloting!D37,Groepsloting!F37),IF(Groepsloting!$C$291=3,IF(ISBLANK(Groepsloting!H37),Groepsloting!D37,Groepsloting!H37),Groepsloting!D37)))</f>
        <v>Groep G</v>
      </c>
      <c r="C37" s="90"/>
      <c r="D37" s="101" t="s">
        <v>11</v>
      </c>
      <c r="E37" s="90"/>
      <c r="F37" s="101" t="s">
        <v>129</v>
      </c>
      <c r="G37" s="90"/>
      <c r="H37" s="101" t="s">
        <v>147</v>
      </c>
      <c r="I37" s="20"/>
      <c r="P37" s="40"/>
      <c r="Q37" s="4"/>
      <c r="R37" s="40"/>
      <c r="S37" s="4"/>
      <c r="T37" s="40"/>
    </row>
    <row r="38" spans="1:20" x14ac:dyDescent="0.2">
      <c r="A38" s="5">
        <v>1</v>
      </c>
      <c r="B38" s="6" t="str">
        <f>IF(Groepsloting!$C$291=1,Groepsloting!D38,IF(Groepsloting!$C$291=2,IF(ISBLANK(Groepsloting!F38),Groepsloting!D38,Groepsloting!F38),IF(Groepsloting!$C$291=3,IF(ISBLANK(Groepsloting!H38),Groepsloting!D38,Groepsloting!H38),Groepsloting!D38)))</f>
        <v>België</v>
      </c>
      <c r="C38" s="90"/>
      <c r="D38" s="100" t="s">
        <v>113</v>
      </c>
      <c r="E38" s="20"/>
      <c r="F38" s="209" t="s">
        <v>122</v>
      </c>
      <c r="G38" s="209"/>
      <c r="H38" s="209" t="s">
        <v>141</v>
      </c>
      <c r="I38" s="20"/>
      <c r="P38" s="41"/>
      <c r="Q38" s="4"/>
      <c r="R38" s="41"/>
      <c r="S38" s="4"/>
      <c r="T38" s="41"/>
    </row>
    <row r="39" spans="1:20" x14ac:dyDescent="0.2">
      <c r="A39" s="5">
        <v>2</v>
      </c>
      <c r="B39" s="6" t="str">
        <f>IF(Groepsloting!$C$291=1,Groepsloting!D39,IF(Groepsloting!$C$291=2,IF(ISBLANK(Groepsloting!F39),Groepsloting!D39,Groepsloting!F39),IF(Groepsloting!$C$291=3,IF(ISBLANK(Groepsloting!H39),Groepsloting!D39,Groepsloting!H39),Groepsloting!D39)))</f>
        <v>Egypte</v>
      </c>
      <c r="C39" s="90"/>
      <c r="D39" s="100" t="s">
        <v>414</v>
      </c>
      <c r="E39" s="20"/>
      <c r="F39" s="209" t="s">
        <v>658</v>
      </c>
      <c r="G39" s="209"/>
      <c r="H39" s="209" t="s">
        <v>659</v>
      </c>
      <c r="I39" s="20"/>
      <c r="P39" s="41"/>
      <c r="Q39" s="4"/>
      <c r="R39" s="41"/>
      <c r="S39" s="4"/>
      <c r="T39" s="41"/>
    </row>
    <row r="40" spans="1:20" x14ac:dyDescent="0.2">
      <c r="A40" s="5">
        <v>3</v>
      </c>
      <c r="B40" s="6" t="str">
        <f>IF(Groepsloting!$C$291=1,Groepsloting!D40,IF(Groepsloting!$C$291=2,IF(ISBLANK(Groepsloting!F40),Groepsloting!D40,Groepsloting!F40),IF(Groepsloting!$C$291=3,IF(ISBLANK(Groepsloting!H40),Groepsloting!D40,Groepsloting!H40),Groepsloting!D40)))</f>
        <v>Iran</v>
      </c>
      <c r="C40" s="90"/>
      <c r="D40" s="100" t="s">
        <v>112</v>
      </c>
      <c r="E40" s="20"/>
      <c r="F40" s="209" t="s">
        <v>112</v>
      </c>
      <c r="G40" s="209"/>
      <c r="H40" s="209" t="s">
        <v>112</v>
      </c>
      <c r="I40" s="20"/>
      <c r="P40" s="41"/>
      <c r="Q40" s="4"/>
      <c r="R40" s="41"/>
      <c r="S40" s="4"/>
      <c r="T40" s="41"/>
    </row>
    <row r="41" spans="1:20" x14ac:dyDescent="0.2">
      <c r="A41" s="5">
        <v>4</v>
      </c>
      <c r="B41" s="6" t="str">
        <f>IF(Groepsloting!$C$291=1,Groepsloting!D41,IF(Groepsloting!$C$291=2,IF(ISBLANK(Groepsloting!F41),Groepsloting!D41,Groepsloting!F41),IF(Groepsloting!$C$291=3,IF(ISBLANK(Groepsloting!H41),Groepsloting!D41,Groepsloting!H41),Groepsloting!D41)))</f>
        <v>Nieuw-Zeeland</v>
      </c>
      <c r="C41" s="90"/>
      <c r="D41" s="100" t="s">
        <v>415</v>
      </c>
      <c r="E41" s="90"/>
      <c r="F41" s="209" t="s">
        <v>660</v>
      </c>
      <c r="G41" s="209"/>
      <c r="H41" s="209" t="s">
        <v>661</v>
      </c>
      <c r="I41" s="20"/>
      <c r="P41" s="41"/>
      <c r="Q41" s="4"/>
      <c r="R41" s="41"/>
      <c r="S41" s="4"/>
      <c r="T41" s="41"/>
    </row>
    <row r="42" spans="1:20" x14ac:dyDescent="0.2">
      <c r="B42" s="3"/>
      <c r="C42" s="90"/>
      <c r="D42" s="90"/>
      <c r="E42" s="90"/>
      <c r="F42" s="90"/>
      <c r="G42" s="90"/>
      <c r="H42" s="90"/>
      <c r="I42" s="20"/>
      <c r="P42" s="4"/>
      <c r="Q42" s="4"/>
      <c r="R42" s="4"/>
      <c r="S42" s="4"/>
      <c r="T42" s="4"/>
    </row>
    <row r="43" spans="1:20" x14ac:dyDescent="0.2">
      <c r="A43" s="39"/>
      <c r="B43" s="217" t="str">
        <f>IF(Groepsloting!$C$291=1,Groepsloting!D43,IF(Groepsloting!$C$291=2,IF(ISBLANK(Groepsloting!F43),Groepsloting!D43,Groepsloting!F43),IF(Groepsloting!$C$291=3,IF(ISBLANK(Groepsloting!H43),Groepsloting!D43,Groepsloting!H43),Groepsloting!D43)))</f>
        <v>Groep H</v>
      </c>
      <c r="C43" s="90"/>
      <c r="D43" s="101" t="s">
        <v>12</v>
      </c>
      <c r="E43" s="90"/>
      <c r="F43" s="101" t="s">
        <v>130</v>
      </c>
      <c r="G43" s="90"/>
      <c r="H43" s="101" t="s">
        <v>148</v>
      </c>
      <c r="I43" s="20"/>
      <c r="P43" s="40"/>
      <c r="Q43" s="4"/>
      <c r="R43" s="40"/>
      <c r="S43" s="4"/>
      <c r="T43" s="40"/>
    </row>
    <row r="44" spans="1:20" x14ac:dyDescent="0.2">
      <c r="A44" s="5">
        <v>1</v>
      </c>
      <c r="B44" s="6" t="str">
        <f>IF(Groepsloting!$C$291=1,Groepsloting!D44,IF(Groepsloting!$C$291=2,IF(ISBLANK(Groepsloting!F44),Groepsloting!D44,Groepsloting!F44),IF(Groepsloting!$C$291=3,IF(ISBLANK(Groepsloting!H44),Groepsloting!D44,Groepsloting!H44),Groepsloting!D44)))</f>
        <v>Spanje</v>
      </c>
      <c r="C44" s="90"/>
      <c r="D44" s="100" t="s">
        <v>44</v>
      </c>
      <c r="E44" s="20"/>
      <c r="F44" s="209" t="s">
        <v>117</v>
      </c>
      <c r="G44" s="209"/>
      <c r="H44" s="209" t="s">
        <v>135</v>
      </c>
      <c r="I44" s="20"/>
      <c r="P44" s="41"/>
      <c r="Q44" s="4"/>
      <c r="R44" s="41"/>
      <c r="S44" s="4"/>
      <c r="T44" s="41"/>
    </row>
    <row r="45" spans="1:20" x14ac:dyDescent="0.2">
      <c r="A45" s="5">
        <v>2</v>
      </c>
      <c r="B45" s="6" t="str">
        <f>IF(Groepsloting!$C$291=1,Groepsloting!D45,IF(Groepsloting!$C$291=2,IF(ISBLANK(Groepsloting!F45),Groepsloting!D45,Groepsloting!F45),IF(Groepsloting!$C$291=3,IF(ISBLANK(Groepsloting!H45),Groepsloting!D45,Groepsloting!H45),Groepsloting!D45)))</f>
        <v>Kaapverdië</v>
      </c>
      <c r="C45" s="90"/>
      <c r="D45" s="100" t="s">
        <v>416</v>
      </c>
      <c r="E45" s="90"/>
      <c r="F45" s="225" t="s">
        <v>726</v>
      </c>
      <c r="G45" s="209"/>
      <c r="H45" s="209" t="s">
        <v>662</v>
      </c>
      <c r="I45" s="20"/>
      <c r="P45" s="41"/>
      <c r="Q45" s="4"/>
      <c r="R45" s="41"/>
      <c r="S45" s="4"/>
      <c r="T45" s="41"/>
    </row>
    <row r="46" spans="1:20" x14ac:dyDescent="0.2">
      <c r="A46" s="5">
        <v>3</v>
      </c>
      <c r="B46" s="6" t="str">
        <f>IF(Groepsloting!$C$291=1,Groepsloting!D46,IF(Groepsloting!$C$291=2,IF(ISBLANK(Groepsloting!F46),Groepsloting!D46,Groepsloting!F46),IF(Groepsloting!$C$291=3,IF(ISBLANK(Groepsloting!H46),Groepsloting!D46,Groepsloting!H46),Groepsloting!D46)))</f>
        <v>Saoedi-Arabië</v>
      </c>
      <c r="C46" s="90"/>
      <c r="D46" s="100" t="s">
        <v>417</v>
      </c>
      <c r="E46" s="90"/>
      <c r="F46" s="209" t="s">
        <v>197</v>
      </c>
      <c r="G46" s="209"/>
      <c r="H46" s="209" t="s">
        <v>663</v>
      </c>
      <c r="I46" s="20"/>
      <c r="P46" s="41"/>
      <c r="Q46" s="4"/>
      <c r="R46" s="41"/>
      <c r="S46" s="4"/>
      <c r="T46" s="41"/>
    </row>
    <row r="47" spans="1:20" x14ac:dyDescent="0.2">
      <c r="A47" s="5">
        <v>4</v>
      </c>
      <c r="B47" s="6" t="str">
        <f>IF(Groepsloting!$C$291=1,Groepsloting!D47,IF(Groepsloting!$C$291=2,IF(ISBLANK(Groepsloting!F47),Groepsloting!D47,Groepsloting!F47),IF(Groepsloting!$C$291=3,IF(ISBLANK(Groepsloting!H47),Groepsloting!D47,Groepsloting!H47),Groepsloting!D47)))</f>
        <v>Uruguay</v>
      </c>
      <c r="C47" s="90"/>
      <c r="D47" s="100" t="s">
        <v>93</v>
      </c>
      <c r="E47" s="20"/>
      <c r="F47" s="209" t="s">
        <v>93</v>
      </c>
      <c r="G47" s="209"/>
      <c r="H47" s="209" t="s">
        <v>93</v>
      </c>
      <c r="I47" s="20"/>
      <c r="P47" s="41"/>
      <c r="Q47" s="4"/>
      <c r="R47" s="41"/>
      <c r="S47" s="4"/>
      <c r="T47" s="41"/>
    </row>
    <row r="48" spans="1:20" x14ac:dyDescent="0.2">
      <c r="C48" s="90"/>
      <c r="D48" s="90"/>
      <c r="E48" s="90"/>
      <c r="F48" s="90"/>
      <c r="G48" s="90"/>
      <c r="H48" s="90"/>
      <c r="I48" s="20"/>
      <c r="P48" s="4"/>
      <c r="Q48" s="4"/>
      <c r="R48" s="4"/>
      <c r="S48" s="4"/>
      <c r="T48" s="4"/>
    </row>
    <row r="49" spans="1:20" x14ac:dyDescent="0.2">
      <c r="A49" s="39"/>
      <c r="B49" s="217" t="str">
        <f>IF(Groepsloting!$C$291=1,Groepsloting!D49,IF(Groepsloting!$C$291=2,IF(ISBLANK(Groepsloting!F49),Groepsloting!D49,Groepsloting!F49),IF(Groepsloting!$C$291=3,IF(ISBLANK(Groepsloting!H49),Groepsloting!D49,Groepsloting!H49),Groepsloting!D49)))</f>
        <v>Groep I</v>
      </c>
      <c r="C49" s="90"/>
      <c r="D49" s="101" t="s">
        <v>418</v>
      </c>
      <c r="E49" s="90"/>
      <c r="F49" s="101" t="s">
        <v>589</v>
      </c>
      <c r="G49" s="90"/>
      <c r="H49" s="101" t="s">
        <v>590</v>
      </c>
      <c r="I49" s="20"/>
      <c r="P49" s="40"/>
      <c r="Q49" s="4"/>
      <c r="R49" s="40"/>
      <c r="S49" s="4"/>
      <c r="T49" s="40"/>
    </row>
    <row r="50" spans="1:20" x14ac:dyDescent="0.2">
      <c r="A50" s="5">
        <v>1</v>
      </c>
      <c r="B50" s="6" t="str">
        <f>IF(Groepsloting!$C$291=1,Groepsloting!D50,IF(Groepsloting!$C$291=2,IF(ISBLANK(Groepsloting!F50),Groepsloting!D50,Groepsloting!F50),IF(Groepsloting!$C$291=3,IF(ISBLANK(Groepsloting!H50),Groepsloting!D50,Groepsloting!H50),Groepsloting!D50)))</f>
        <v>Irak</v>
      </c>
      <c r="C50" s="90"/>
      <c r="D50" s="100" t="s">
        <v>728</v>
      </c>
      <c r="E50" s="20"/>
      <c r="F50" s="225" t="s">
        <v>727</v>
      </c>
      <c r="G50" s="209"/>
      <c r="H50" s="225" t="s">
        <v>729</v>
      </c>
      <c r="I50" s="20"/>
      <c r="P50" s="41"/>
      <c r="Q50" s="4"/>
      <c r="R50" s="41"/>
      <c r="S50" s="4"/>
      <c r="T50" s="41"/>
    </row>
    <row r="51" spans="1:20" x14ac:dyDescent="0.2">
      <c r="A51" s="5">
        <v>2</v>
      </c>
      <c r="B51" s="6" t="str">
        <f>IF(Groepsloting!$C$291=1,Groepsloting!D51,IF(Groepsloting!$C$291=2,IF(ISBLANK(Groepsloting!F51),Groepsloting!D51,Groepsloting!F51),IF(Groepsloting!$C$291=3,IF(ISBLANK(Groepsloting!H51),Groepsloting!D51,Groepsloting!H51),Groepsloting!D51)))</f>
        <v>Frankrijk</v>
      </c>
      <c r="C51" s="90"/>
      <c r="D51" s="100" t="s">
        <v>41</v>
      </c>
      <c r="E51" s="20"/>
      <c r="F51" s="209" t="s">
        <v>120</v>
      </c>
      <c r="G51" s="209"/>
      <c r="H51" s="209" t="s">
        <v>138</v>
      </c>
      <c r="I51" s="20"/>
      <c r="P51" s="41"/>
      <c r="Q51" s="4"/>
      <c r="R51" s="41"/>
      <c r="S51" s="4"/>
      <c r="T51" s="41"/>
    </row>
    <row r="52" spans="1:20" x14ac:dyDescent="0.2">
      <c r="A52" s="5">
        <v>3</v>
      </c>
      <c r="B52" s="6" t="str">
        <f>IF(Groepsloting!$C$291=1,Groepsloting!D52,IF(Groepsloting!$C$291=2,IF(ISBLANK(Groepsloting!F52),Groepsloting!D52,Groepsloting!F52),IF(Groepsloting!$C$291=3,IF(ISBLANK(Groepsloting!H52),Groepsloting!D52,Groepsloting!H52),Groepsloting!D52)))</f>
        <v>Senegal</v>
      </c>
      <c r="C52" s="90"/>
      <c r="D52" s="100" t="s">
        <v>195</v>
      </c>
      <c r="E52" s="20"/>
      <c r="F52" s="209" t="s">
        <v>195</v>
      </c>
      <c r="G52" s="209"/>
      <c r="H52" s="209" t="s">
        <v>195</v>
      </c>
      <c r="I52" s="20"/>
      <c r="P52" s="41"/>
      <c r="Q52" s="4"/>
      <c r="R52" s="41"/>
      <c r="S52" s="4"/>
      <c r="T52" s="41"/>
    </row>
    <row r="53" spans="1:20" x14ac:dyDescent="0.2">
      <c r="A53" s="5">
        <v>4</v>
      </c>
      <c r="B53" s="6" t="str">
        <f>IF(Groepsloting!$C$291=1,Groepsloting!D53,IF(Groepsloting!$C$291=2,IF(ISBLANK(Groepsloting!F53),Groepsloting!D53,Groepsloting!F53),IF(Groepsloting!$C$291=3,IF(ISBLANK(Groepsloting!H53),Groepsloting!D53,Groepsloting!H53),Groepsloting!D53)))</f>
        <v>Noorwegen</v>
      </c>
      <c r="C53" s="90"/>
      <c r="D53" s="100" t="s">
        <v>423</v>
      </c>
      <c r="E53" s="90"/>
      <c r="F53" s="209" t="s">
        <v>664</v>
      </c>
      <c r="G53" s="209"/>
      <c r="H53" s="209" t="s">
        <v>665</v>
      </c>
      <c r="I53" s="20"/>
      <c r="P53" s="41"/>
      <c r="Q53" s="4"/>
      <c r="R53" s="41"/>
      <c r="S53" s="4"/>
      <c r="T53" s="41"/>
    </row>
    <row r="54" spans="1:20" x14ac:dyDescent="0.2">
      <c r="B54" s="3"/>
      <c r="C54" s="90"/>
      <c r="D54" s="90"/>
      <c r="E54" s="90"/>
      <c r="F54" s="90"/>
      <c r="G54" s="90"/>
      <c r="H54" s="90"/>
      <c r="I54" s="20"/>
      <c r="P54" s="4"/>
      <c r="Q54" s="4"/>
      <c r="R54" s="4"/>
      <c r="S54" s="4"/>
      <c r="T54" s="4"/>
    </row>
    <row r="55" spans="1:20" x14ac:dyDescent="0.2">
      <c r="A55" s="39"/>
      <c r="B55" s="217" t="str">
        <f>IF(Groepsloting!$C$291=1,Groepsloting!D55,IF(Groepsloting!$C$291=2,IF(ISBLANK(Groepsloting!F55),Groepsloting!D55,Groepsloting!F55),IF(Groepsloting!$C$291=3,IF(ISBLANK(Groepsloting!H55),Groepsloting!D55,Groepsloting!H55),Groepsloting!D55)))</f>
        <v>Groep J</v>
      </c>
      <c r="C55" s="90"/>
      <c r="D55" s="101" t="s">
        <v>419</v>
      </c>
      <c r="E55" s="90"/>
      <c r="F55" s="101" t="s">
        <v>591</v>
      </c>
      <c r="G55" s="90"/>
      <c r="H55" s="101" t="s">
        <v>592</v>
      </c>
      <c r="I55" s="20"/>
      <c r="P55" s="40"/>
      <c r="Q55" s="4"/>
      <c r="R55" s="40"/>
      <c r="S55" s="4"/>
      <c r="T55" s="40"/>
    </row>
    <row r="56" spans="1:20" x14ac:dyDescent="0.2">
      <c r="A56" s="5">
        <v>1</v>
      </c>
      <c r="B56" s="6" t="str">
        <f>IF(Groepsloting!$C$291=1,Groepsloting!D56,IF(Groepsloting!$C$291=2,IF(ISBLANK(Groepsloting!F56),Groepsloting!D56,Groepsloting!F56),IF(Groepsloting!$C$291=3,IF(ISBLANK(Groepsloting!H56),Groepsloting!D56,Groepsloting!H56),Groepsloting!D56)))</f>
        <v>Argentinië</v>
      </c>
      <c r="C56" s="90"/>
      <c r="D56" s="100" t="s">
        <v>35</v>
      </c>
      <c r="E56" s="90"/>
      <c r="F56" s="209" t="s">
        <v>121</v>
      </c>
      <c r="G56" s="209"/>
      <c r="H56" s="209" t="s">
        <v>139</v>
      </c>
      <c r="I56" s="20"/>
      <c r="P56" s="41"/>
      <c r="Q56" s="4"/>
      <c r="R56" s="41"/>
      <c r="S56" s="4"/>
      <c r="T56" s="41"/>
    </row>
    <row r="57" spans="1:20" x14ac:dyDescent="0.2">
      <c r="A57" s="5">
        <v>2</v>
      </c>
      <c r="B57" s="6" t="str">
        <f>IF(Groepsloting!$C$291=1,Groepsloting!D57,IF(Groepsloting!$C$291=2,IF(ISBLANK(Groepsloting!F57),Groepsloting!D57,Groepsloting!F57),IF(Groepsloting!$C$291=3,IF(ISBLANK(Groepsloting!H57),Groepsloting!D57,Groepsloting!H57),Groepsloting!D57)))</f>
        <v>Algerije</v>
      </c>
      <c r="C57" s="90"/>
      <c r="D57" s="100" t="s">
        <v>424</v>
      </c>
      <c r="E57" s="90"/>
      <c r="F57" s="209" t="s">
        <v>666</v>
      </c>
      <c r="G57" s="209"/>
      <c r="H57" s="209" t="s">
        <v>667</v>
      </c>
      <c r="I57" s="20"/>
      <c r="P57" s="41"/>
      <c r="Q57" s="4"/>
      <c r="R57" s="41"/>
      <c r="S57" s="4"/>
      <c r="T57" s="41"/>
    </row>
    <row r="58" spans="1:20" x14ac:dyDescent="0.2">
      <c r="A58" s="5">
        <v>3</v>
      </c>
      <c r="B58" s="6" t="str">
        <f>IF(Groepsloting!$C$291=1,Groepsloting!D58,IF(Groepsloting!$C$291=2,IF(ISBLANK(Groepsloting!F58),Groepsloting!D58,Groepsloting!F58),IF(Groepsloting!$C$291=3,IF(ISBLANK(Groepsloting!H58),Groepsloting!D58,Groepsloting!H58),Groepsloting!D58)))</f>
        <v>Oostenrijk</v>
      </c>
      <c r="C58" s="90"/>
      <c r="D58" s="100" t="s">
        <v>425</v>
      </c>
      <c r="E58" s="20"/>
      <c r="F58" s="209" t="s">
        <v>668</v>
      </c>
      <c r="G58" s="209"/>
      <c r="H58" s="209" t="s">
        <v>669</v>
      </c>
      <c r="I58" s="20"/>
      <c r="P58" s="41"/>
      <c r="Q58" s="4"/>
      <c r="R58" s="41"/>
      <c r="S58" s="4"/>
      <c r="T58" s="41"/>
    </row>
    <row r="59" spans="1:20" x14ac:dyDescent="0.2">
      <c r="A59" s="5">
        <v>4</v>
      </c>
      <c r="B59" s="6" t="str">
        <f>IF(Groepsloting!$C$291=1,Groepsloting!D59,IF(Groepsloting!$C$291=2,IF(ISBLANK(Groepsloting!F59),Groepsloting!D59,Groepsloting!F59),IF(Groepsloting!$C$291=3,IF(ISBLANK(Groepsloting!H59),Groepsloting!D59,Groepsloting!H59),Groepsloting!D59)))</f>
        <v>Jordanië</v>
      </c>
      <c r="C59" s="90"/>
      <c r="D59" s="100" t="s">
        <v>426</v>
      </c>
      <c r="E59" s="20"/>
      <c r="F59" s="209" t="s">
        <v>670</v>
      </c>
      <c r="G59" s="209"/>
      <c r="H59" s="209" t="s">
        <v>671</v>
      </c>
      <c r="I59" s="20"/>
      <c r="P59" s="41"/>
      <c r="Q59" s="4"/>
      <c r="R59" s="41"/>
      <c r="S59" s="4"/>
      <c r="T59" s="41"/>
    </row>
    <row r="60" spans="1:20" x14ac:dyDescent="0.2">
      <c r="A60" s="3"/>
      <c r="B60" s="3"/>
      <c r="C60" s="90"/>
      <c r="D60" s="90"/>
      <c r="E60" s="90"/>
      <c r="F60" s="90"/>
      <c r="G60" s="90"/>
      <c r="H60" s="90"/>
      <c r="I60" s="20"/>
      <c r="P60" s="4"/>
      <c r="Q60" s="4"/>
      <c r="R60" s="4"/>
      <c r="S60" s="4"/>
      <c r="T60" s="4"/>
    </row>
    <row r="61" spans="1:20" x14ac:dyDescent="0.2">
      <c r="A61" s="39"/>
      <c r="B61" s="217" t="str">
        <f>IF(Groepsloting!$C$291=1,Groepsloting!D61,IF(Groepsloting!$C$291=2,IF(ISBLANK(Groepsloting!F61),Groepsloting!D61,Groepsloting!F61),IF(Groepsloting!$C$291=3,IF(ISBLANK(Groepsloting!H61),Groepsloting!D61,Groepsloting!H61),Groepsloting!D61)))</f>
        <v>Groep K</v>
      </c>
      <c r="C61" s="90"/>
      <c r="D61" s="101" t="s">
        <v>420</v>
      </c>
      <c r="E61" s="90"/>
      <c r="F61" s="101" t="s">
        <v>593</v>
      </c>
      <c r="G61" s="90"/>
      <c r="H61" s="101" t="s">
        <v>594</v>
      </c>
      <c r="I61" s="20"/>
      <c r="P61" s="40"/>
      <c r="Q61" s="4"/>
      <c r="R61" s="40"/>
      <c r="S61" s="4"/>
      <c r="T61" s="40"/>
    </row>
    <row r="62" spans="1:20" x14ac:dyDescent="0.2">
      <c r="A62" s="5">
        <v>1</v>
      </c>
      <c r="B62" s="6" t="str">
        <f>IF(Groepsloting!$C$291=1,Groepsloting!D62,IF(Groepsloting!$C$291=2,IF(ISBLANK(Groepsloting!F62),Groepsloting!D62,Groepsloting!F62),IF(Groepsloting!$C$291=3,IF(ISBLANK(Groepsloting!H62),Groepsloting!D62,Groepsloting!H62),Groepsloting!D62)))</f>
        <v>Congo</v>
      </c>
      <c r="C62" s="90"/>
      <c r="D62" s="100" t="s">
        <v>730</v>
      </c>
      <c r="E62" s="20"/>
      <c r="F62" s="225" t="s">
        <v>730</v>
      </c>
      <c r="G62" s="209"/>
      <c r="H62" s="225" t="s">
        <v>731</v>
      </c>
      <c r="I62" s="20"/>
      <c r="P62" s="41"/>
      <c r="Q62" s="4"/>
      <c r="R62" s="41"/>
      <c r="S62" s="4"/>
      <c r="T62" s="41"/>
    </row>
    <row r="63" spans="1:20" x14ac:dyDescent="0.2">
      <c r="A63" s="5">
        <v>2</v>
      </c>
      <c r="B63" s="6" t="str">
        <f>IF(Groepsloting!$C$291=1,Groepsloting!D63,IF(Groepsloting!$C$291=2,IF(ISBLANK(Groepsloting!F63),Groepsloting!D63,Groepsloting!F63),IF(Groepsloting!$C$291=3,IF(ISBLANK(Groepsloting!H63),Groepsloting!D63,Groepsloting!H63),Groepsloting!D63)))</f>
        <v>Portugal</v>
      </c>
      <c r="C63" s="90"/>
      <c r="D63" s="100" t="s">
        <v>37</v>
      </c>
      <c r="E63" s="20"/>
      <c r="F63" s="209" t="s">
        <v>37</v>
      </c>
      <c r="G63" s="209"/>
      <c r="H63" s="209" t="s">
        <v>37</v>
      </c>
      <c r="I63" s="20"/>
      <c r="P63" s="41"/>
      <c r="Q63" s="4"/>
      <c r="R63" s="41"/>
      <c r="S63" s="4"/>
      <c r="T63" s="41"/>
    </row>
    <row r="64" spans="1:20" x14ac:dyDescent="0.2">
      <c r="A64" s="5">
        <v>3</v>
      </c>
      <c r="B64" s="6" t="str">
        <f>IF(Groepsloting!$C$291=1,Groepsloting!D64,IF(Groepsloting!$C$291=2,IF(ISBLANK(Groepsloting!F64),Groepsloting!D64,Groepsloting!F64),IF(Groepsloting!$C$291=3,IF(ISBLANK(Groepsloting!H64),Groepsloting!D64,Groepsloting!H64),Groepsloting!D64)))</f>
        <v>Oezbekistan</v>
      </c>
      <c r="C64" s="90"/>
      <c r="D64" s="100" t="s">
        <v>427</v>
      </c>
      <c r="E64" s="20"/>
      <c r="F64" s="209" t="s">
        <v>672</v>
      </c>
      <c r="G64" s="209"/>
      <c r="H64" s="209" t="s">
        <v>673</v>
      </c>
      <c r="I64" s="20"/>
      <c r="P64" s="41"/>
      <c r="Q64" s="4"/>
      <c r="R64" s="41"/>
      <c r="S64" s="4"/>
      <c r="T64" s="41"/>
    </row>
    <row r="65" spans="1:20" x14ac:dyDescent="0.2">
      <c r="A65" s="5">
        <v>4</v>
      </c>
      <c r="B65" s="6" t="str">
        <f>IF(Groepsloting!$C$291=1,Groepsloting!D65,IF(Groepsloting!$C$291=2,IF(ISBLANK(Groepsloting!F65),Groepsloting!D65,Groepsloting!F65),IF(Groepsloting!$C$291=3,IF(ISBLANK(Groepsloting!H65),Groepsloting!D65,Groepsloting!H65),Groepsloting!D65)))</f>
        <v>Colombia</v>
      </c>
      <c r="C65" s="90"/>
      <c r="D65" s="100" t="s">
        <v>428</v>
      </c>
      <c r="E65" s="90"/>
      <c r="F65" s="209" t="s">
        <v>428</v>
      </c>
      <c r="G65" s="209"/>
      <c r="H65" s="209" t="s">
        <v>674</v>
      </c>
      <c r="I65" s="20"/>
      <c r="P65" s="41"/>
      <c r="Q65" s="4"/>
      <c r="R65" s="41"/>
      <c r="S65" s="4"/>
      <c r="T65" s="41"/>
    </row>
    <row r="66" spans="1:20" x14ac:dyDescent="0.2">
      <c r="B66" s="3"/>
      <c r="C66" s="90"/>
      <c r="D66" s="90"/>
      <c r="E66" s="90"/>
      <c r="F66" s="90"/>
      <c r="G66" s="90"/>
      <c r="H66" s="90"/>
      <c r="I66" s="20"/>
      <c r="P66" s="4"/>
      <c r="Q66" s="4"/>
      <c r="R66" s="4"/>
      <c r="S66" s="4"/>
      <c r="T66" s="4"/>
    </row>
    <row r="67" spans="1:20" x14ac:dyDescent="0.2">
      <c r="A67" s="39"/>
      <c r="B67" s="217" t="str">
        <f>IF(Groepsloting!$C$291=1,Groepsloting!D67,IF(Groepsloting!$C$291=2,IF(ISBLANK(Groepsloting!F67),Groepsloting!D67,Groepsloting!F67),IF(Groepsloting!$C$291=3,IF(ISBLANK(Groepsloting!H67),Groepsloting!D67,Groepsloting!H67),Groepsloting!D67)))</f>
        <v>Groep L</v>
      </c>
      <c r="C67" s="90"/>
      <c r="D67" s="101" t="s">
        <v>421</v>
      </c>
      <c r="E67" s="90"/>
      <c r="F67" s="101" t="s">
        <v>595</v>
      </c>
      <c r="G67" s="90"/>
      <c r="H67" s="101" t="s">
        <v>596</v>
      </c>
      <c r="I67" s="20"/>
      <c r="P67" s="40"/>
      <c r="Q67" s="4"/>
      <c r="R67" s="40"/>
      <c r="S67" s="4"/>
      <c r="T67" s="40"/>
    </row>
    <row r="68" spans="1:20" x14ac:dyDescent="0.2">
      <c r="A68" s="5">
        <v>1</v>
      </c>
      <c r="B68" s="6" t="str">
        <f>IF(Groepsloting!$C$291=1,Groepsloting!D68,IF(Groepsloting!$C$291=2,IF(ISBLANK(Groepsloting!F68),Groepsloting!D68,Groepsloting!F68),IF(Groepsloting!$C$291=3,IF(ISBLANK(Groepsloting!H68),Groepsloting!D68,Groepsloting!H68),Groepsloting!D68)))</f>
        <v>Engeland</v>
      </c>
      <c r="C68" s="90"/>
      <c r="D68" s="100" t="s">
        <v>34</v>
      </c>
      <c r="E68" s="20"/>
      <c r="F68" s="209" t="s">
        <v>119</v>
      </c>
      <c r="G68" s="209"/>
      <c r="H68" s="209" t="s">
        <v>119</v>
      </c>
      <c r="I68" s="20"/>
      <c r="P68" s="41"/>
      <c r="Q68" s="4"/>
      <c r="R68" s="41"/>
      <c r="S68" s="4"/>
      <c r="T68" s="41"/>
    </row>
    <row r="69" spans="1:20" x14ac:dyDescent="0.2">
      <c r="A69" s="5">
        <v>2</v>
      </c>
      <c r="B69" s="6" t="str">
        <f>IF(Groepsloting!$C$291=1,Groepsloting!D69,IF(Groepsloting!$C$291=2,IF(ISBLANK(Groepsloting!F69),Groepsloting!D69,Groepsloting!F69),IF(Groepsloting!$C$291=3,IF(ISBLANK(Groepsloting!H69),Groepsloting!D69,Groepsloting!H69),Groepsloting!D69)))</f>
        <v>Kroatië</v>
      </c>
      <c r="C69" s="90"/>
      <c r="D69" s="100" t="s">
        <v>111</v>
      </c>
      <c r="E69" s="90"/>
      <c r="F69" s="209" t="s">
        <v>116</v>
      </c>
      <c r="G69" s="209"/>
      <c r="H69" s="209" t="s">
        <v>133</v>
      </c>
      <c r="I69" s="20"/>
      <c r="P69" s="41"/>
      <c r="Q69" s="4"/>
      <c r="R69" s="41"/>
      <c r="S69" s="4"/>
      <c r="T69" s="41"/>
    </row>
    <row r="70" spans="1:20" x14ac:dyDescent="0.2">
      <c r="A70" s="5">
        <v>3</v>
      </c>
      <c r="B70" s="6" t="str">
        <f>IF(Groepsloting!$C$291=1,Groepsloting!D70,IF(Groepsloting!$C$291=2,IF(ISBLANK(Groepsloting!F70),Groepsloting!D70,Groepsloting!F70),IF(Groepsloting!$C$291=3,IF(ISBLANK(Groepsloting!H70),Groepsloting!D70,Groepsloting!H70),Groepsloting!D70)))</f>
        <v>Ghana</v>
      </c>
      <c r="C70" s="90"/>
      <c r="D70" s="100" t="s">
        <v>357</v>
      </c>
      <c r="E70" s="90"/>
      <c r="F70" s="209" t="s">
        <v>357</v>
      </c>
      <c r="G70" s="209"/>
      <c r="H70" s="209" t="s">
        <v>357</v>
      </c>
      <c r="I70" s="20"/>
      <c r="P70" s="41"/>
      <c r="Q70" s="4"/>
      <c r="R70" s="41"/>
      <c r="S70" s="4"/>
      <c r="T70" s="41"/>
    </row>
    <row r="71" spans="1:20" x14ac:dyDescent="0.2">
      <c r="A71" s="5">
        <v>4</v>
      </c>
      <c r="B71" s="6" t="str">
        <f>IF(Groepsloting!$C$291=1,Groepsloting!D71,IF(Groepsloting!$C$291=2,IF(ISBLANK(Groepsloting!F71),Groepsloting!D71,Groepsloting!F71),IF(Groepsloting!$C$291=3,IF(ISBLANK(Groepsloting!H71),Groepsloting!D71,Groepsloting!H71),Groepsloting!D71)))</f>
        <v>Panama</v>
      </c>
      <c r="C71" s="90"/>
      <c r="D71" s="100" t="s">
        <v>429</v>
      </c>
      <c r="E71" s="20"/>
      <c r="F71" s="209" t="s">
        <v>429</v>
      </c>
      <c r="G71" s="209"/>
      <c r="H71" s="209" t="s">
        <v>429</v>
      </c>
      <c r="I71" s="20"/>
      <c r="P71" s="41"/>
      <c r="Q71" s="4"/>
      <c r="R71" s="41"/>
      <c r="S71" s="4"/>
      <c r="T71" s="41"/>
    </row>
    <row r="72" spans="1:20" s="20" customFormat="1" x14ac:dyDescent="0.2">
      <c r="A72" s="90"/>
      <c r="B72" s="90"/>
      <c r="C72" s="90"/>
      <c r="D72" s="90"/>
      <c r="E72" s="90"/>
      <c r="F72" s="90"/>
      <c r="G72" s="90"/>
      <c r="H72" s="90"/>
    </row>
    <row r="73" spans="1:20" s="20" customFormat="1" ht="25.5" hidden="1" x14ac:dyDescent="0.2">
      <c r="A73" s="90"/>
      <c r="B73" s="97" t="str">
        <f>IF(Groepsloting!$C$291=1,Groepsloting!D73,IF(Groepsloting!$C$291=2,IF(ISBLANK(Groepsloting!F73),Groepsloting!D73,Groepsloting!F73),IF(Groepsloting!$C$291=3,IF(ISBLANK(Groepsloting!H73),Groepsloting!D73,Groepsloting!H73),Groepsloting!D73)))</f>
        <v>WK 2026 Voetbalpool</v>
      </c>
      <c r="C73" s="97"/>
      <c r="D73" s="97" t="s">
        <v>430</v>
      </c>
      <c r="E73" s="97"/>
      <c r="F73" s="97" t="s">
        <v>675</v>
      </c>
      <c r="G73" s="97"/>
      <c r="H73" s="97" t="s">
        <v>712</v>
      </c>
    </row>
    <row r="74" spans="1:20" s="20" customFormat="1" hidden="1" x14ac:dyDescent="0.2">
      <c r="A74" s="90"/>
      <c r="B74" s="98" t="str">
        <f>IF(Groepsloting!$C$291=1,Groepsloting!D74,IF(Groepsloting!$C$291=2,IF(ISBLANK(Groepsloting!F74),Groepsloting!D74,Groepsloting!F74),IF(Groepsloting!$C$291=3,IF(ISBLANK(Groepsloting!H74),Groepsloting!D74,Groepsloting!H74),Groepsloting!D74)))</f>
        <v>Teamnaam:</v>
      </c>
      <c r="C74" s="98"/>
      <c r="D74" s="98" t="s">
        <v>50</v>
      </c>
      <c r="E74" s="98"/>
      <c r="F74" s="98"/>
      <c r="G74" s="98"/>
      <c r="H74" s="98"/>
    </row>
    <row r="75" spans="1:20" s="20" customFormat="1" hidden="1" x14ac:dyDescent="0.2">
      <c r="B75" s="98" t="str">
        <f>IF(Groepsloting!$C$291=1,Groepsloting!D75,IF(Groepsloting!$C$291=2,IF(ISBLANK(Groepsloting!F75),Groepsloting!D75,Groepsloting!F75),IF(Groepsloting!$C$291=3,IF(ISBLANK(Groepsloting!H75),Groepsloting!D75,Groepsloting!H75),Groepsloting!D75)))</f>
        <v>Groep A</v>
      </c>
      <c r="C75" s="98"/>
      <c r="D75" s="98" t="s">
        <v>1</v>
      </c>
      <c r="E75" s="98"/>
      <c r="F75" s="98" t="s">
        <v>123</v>
      </c>
      <c r="G75" s="98"/>
      <c r="H75" s="98" t="s">
        <v>132</v>
      </c>
    </row>
    <row r="76" spans="1:20" s="20" customFormat="1" hidden="1" x14ac:dyDescent="0.2">
      <c r="B76" s="98" t="str">
        <f>IF(Groepsloting!$C$291=1,Groepsloting!D76,IF(Groepsloting!$C$291=2,IF(ISBLANK(Groepsloting!F76),Groepsloting!D76,Groepsloting!F76),IF(Groepsloting!$C$291=3,IF(ISBLANK(Groepsloting!H76),Groepsloting!D76,Groepsloting!H76),Groepsloting!D76)))</f>
        <v>1e poule A</v>
      </c>
      <c r="C76" s="98"/>
      <c r="D76" s="98" t="str">
        <f>"1e poule "&amp;RIGHT(D75,1)</f>
        <v>1e poule A</v>
      </c>
      <c r="E76" s="98"/>
      <c r="F76" s="98" t="str">
        <f>"1st Group "&amp;RIGHT(F75,1)</f>
        <v>1st Group A</v>
      </c>
      <c r="G76" s="98"/>
      <c r="H76" s="98" t="str">
        <f>"1. Gruppe "&amp;RIGHT(H75,1)</f>
        <v>1. Gruppe A</v>
      </c>
    </row>
    <row r="77" spans="1:20" s="20" customFormat="1" hidden="1" x14ac:dyDescent="0.2">
      <c r="B77" s="98" t="str">
        <f>IF(Groepsloting!$C$291=1,Groepsloting!D77,IF(Groepsloting!$C$291=2,IF(ISBLANK(Groepsloting!F77),Groepsloting!D77,Groepsloting!F77),IF(Groepsloting!$C$291=3,IF(ISBLANK(Groepsloting!H77),Groepsloting!D77,Groepsloting!H77),Groepsloting!D77)))</f>
        <v>2e poule A</v>
      </c>
      <c r="C77" s="98"/>
      <c r="D77" s="98" t="str">
        <f>"2e poule "&amp;RIGHT(D76,1)</f>
        <v>2e poule A</v>
      </c>
      <c r="E77" s="98"/>
      <c r="F77" s="98" t="str">
        <f>"2nd Group "&amp;RIGHT(F76,1)</f>
        <v>2nd Group A</v>
      </c>
      <c r="G77" s="98"/>
      <c r="H77" s="98" t="str">
        <f>"2. Gruppe "&amp;RIGHT(H76,1)</f>
        <v>2. Gruppe A</v>
      </c>
    </row>
    <row r="78" spans="1:20" s="20" customFormat="1" hidden="1" x14ac:dyDescent="0.2">
      <c r="B78" s="98" t="str">
        <f>IF(Groepsloting!$C$291=1,Groepsloting!D78,IF(Groepsloting!$C$291=2,IF(ISBLANK(Groepsloting!F78),Groepsloting!D78,Groepsloting!F78),IF(Groepsloting!$C$291=3,IF(ISBLANK(Groepsloting!H78),Groepsloting!D78,Groepsloting!H78),Groepsloting!D78)))</f>
        <v>Groep B</v>
      </c>
      <c r="C78" s="98"/>
      <c r="D78" s="98" t="s">
        <v>6</v>
      </c>
      <c r="E78" s="98"/>
      <c r="F78" s="98" t="s">
        <v>124</v>
      </c>
      <c r="G78" s="98"/>
      <c r="H78" s="98" t="s">
        <v>142</v>
      </c>
    </row>
    <row r="79" spans="1:20" s="20" customFormat="1" hidden="1" x14ac:dyDescent="0.2">
      <c r="B79" s="98" t="str">
        <f>IF(Groepsloting!$C$291=1,Groepsloting!D79,IF(Groepsloting!$C$291=2,IF(ISBLANK(Groepsloting!F79),Groepsloting!D79,Groepsloting!F79),IF(Groepsloting!$C$291=3,IF(ISBLANK(Groepsloting!H79),Groepsloting!D79,Groepsloting!H79),Groepsloting!D79)))</f>
        <v>1e poule B</v>
      </c>
      <c r="C79" s="98"/>
      <c r="D79" s="98" t="str">
        <f>"1e poule "&amp;RIGHT(D78,1)</f>
        <v>1e poule B</v>
      </c>
      <c r="E79" s="98"/>
      <c r="F79" s="98" t="str">
        <f>"1st Group "&amp;RIGHT(F78,1)</f>
        <v>1st Group B</v>
      </c>
      <c r="G79" s="98"/>
      <c r="H79" s="98" t="str">
        <f>"1. Gruppe "&amp;RIGHT(H78,1)</f>
        <v>1. Gruppe B</v>
      </c>
    </row>
    <row r="80" spans="1:20" s="20" customFormat="1" hidden="1" x14ac:dyDescent="0.2">
      <c r="B80" s="98" t="str">
        <f>IF(Groepsloting!$C$291=1,Groepsloting!D80,IF(Groepsloting!$C$291=2,IF(ISBLANK(Groepsloting!F80),Groepsloting!D80,Groepsloting!F80),IF(Groepsloting!$C$291=3,IF(ISBLANK(Groepsloting!H80),Groepsloting!D80,Groepsloting!H80),Groepsloting!D80)))</f>
        <v>2e poule B</v>
      </c>
      <c r="C80" s="98"/>
      <c r="D80" s="98" t="str">
        <f>"2e poule "&amp;RIGHT(D79,1)</f>
        <v>2e poule B</v>
      </c>
      <c r="E80" s="98"/>
      <c r="F80" s="98" t="str">
        <f>"2nd Group "&amp;RIGHT(F79,1)</f>
        <v>2nd Group B</v>
      </c>
      <c r="G80" s="98"/>
      <c r="H80" s="98" t="str">
        <f>"2. Gruppe "&amp;RIGHT(H79,1)</f>
        <v>2. Gruppe B</v>
      </c>
    </row>
    <row r="81" spans="2:8" s="20" customFormat="1" hidden="1" x14ac:dyDescent="0.2">
      <c r="B81" s="98" t="str">
        <f>IF(Groepsloting!$C$291=1,Groepsloting!D81,IF(Groepsloting!$C$291=2,IF(ISBLANK(Groepsloting!F81),Groepsloting!D81,Groepsloting!F81),IF(Groepsloting!$C$291=3,IF(ISBLANK(Groepsloting!H81),Groepsloting!D81,Groepsloting!H81),Groepsloting!D81)))</f>
        <v>Groep C</v>
      </c>
      <c r="C81" s="98"/>
      <c r="D81" s="98" t="s">
        <v>7</v>
      </c>
      <c r="E81" s="98"/>
      <c r="F81" s="98" t="s">
        <v>125</v>
      </c>
      <c r="G81" s="98"/>
      <c r="H81" s="98" t="s">
        <v>143</v>
      </c>
    </row>
    <row r="82" spans="2:8" s="20" customFormat="1" hidden="1" x14ac:dyDescent="0.2">
      <c r="B82" s="98" t="str">
        <f>IF(Groepsloting!$C$291=1,Groepsloting!D82,IF(Groepsloting!$C$291=2,IF(ISBLANK(Groepsloting!F82),Groepsloting!D82,Groepsloting!F82),IF(Groepsloting!$C$291=3,IF(ISBLANK(Groepsloting!H82),Groepsloting!D82,Groepsloting!H82),Groepsloting!D82)))</f>
        <v>1e poule C</v>
      </c>
      <c r="C82" s="98"/>
      <c r="D82" s="98" t="str">
        <f>"1e poule "&amp;RIGHT(D81,1)</f>
        <v>1e poule C</v>
      </c>
      <c r="E82" s="98"/>
      <c r="F82" s="98" t="str">
        <f>"1st Group "&amp;RIGHT(F81,1)</f>
        <v>1st Group C</v>
      </c>
      <c r="G82" s="98"/>
      <c r="H82" s="98" t="str">
        <f>"1. Gruppe "&amp;RIGHT(H81,1)</f>
        <v>1. Gruppe C</v>
      </c>
    </row>
    <row r="83" spans="2:8" s="20" customFormat="1" hidden="1" x14ac:dyDescent="0.2">
      <c r="B83" s="98" t="str">
        <f>IF(Groepsloting!$C$291=1,Groepsloting!D83,IF(Groepsloting!$C$291=2,IF(ISBLANK(Groepsloting!F83),Groepsloting!D83,Groepsloting!F83),IF(Groepsloting!$C$291=3,IF(ISBLANK(Groepsloting!H83),Groepsloting!D83,Groepsloting!H83),Groepsloting!D83)))</f>
        <v>2e poule C</v>
      </c>
      <c r="C83" s="98"/>
      <c r="D83" s="98" t="str">
        <f>"2e poule "&amp;RIGHT(D82,1)</f>
        <v>2e poule C</v>
      </c>
      <c r="E83" s="98"/>
      <c r="F83" s="98" t="str">
        <f>"2nd Group "&amp;RIGHT(F82,1)</f>
        <v>2nd Group C</v>
      </c>
      <c r="G83" s="98"/>
      <c r="H83" s="98" t="str">
        <f>"2. Gruppe "&amp;RIGHT(H82,1)</f>
        <v>2. Gruppe C</v>
      </c>
    </row>
    <row r="84" spans="2:8" s="20" customFormat="1" hidden="1" x14ac:dyDescent="0.2">
      <c r="B84" s="98" t="str">
        <f>IF(Groepsloting!$C$291=1,Groepsloting!D84,IF(Groepsloting!$C$291=2,IF(ISBLANK(Groepsloting!F84),Groepsloting!D84,Groepsloting!F84),IF(Groepsloting!$C$291=3,IF(ISBLANK(Groepsloting!H84),Groepsloting!D84,Groepsloting!H84),Groepsloting!D84)))</f>
        <v>Groep D</v>
      </c>
      <c r="C84" s="98"/>
      <c r="D84" s="98" t="s">
        <v>8</v>
      </c>
      <c r="E84" s="98"/>
      <c r="F84" s="98" t="s">
        <v>126</v>
      </c>
      <c r="G84" s="98"/>
      <c r="H84" s="98" t="s">
        <v>144</v>
      </c>
    </row>
    <row r="85" spans="2:8" s="20" customFormat="1" hidden="1" x14ac:dyDescent="0.2">
      <c r="B85" s="98" t="str">
        <f>IF(Groepsloting!$C$291=1,Groepsloting!D85,IF(Groepsloting!$C$291=2,IF(ISBLANK(Groepsloting!F85),Groepsloting!D85,Groepsloting!F85),IF(Groepsloting!$C$291=3,IF(ISBLANK(Groepsloting!H85),Groepsloting!D85,Groepsloting!H85),Groepsloting!D85)))</f>
        <v>1e poule D</v>
      </c>
      <c r="C85" s="98"/>
      <c r="D85" s="98" t="str">
        <f>"1e poule "&amp;RIGHT(D84,1)</f>
        <v>1e poule D</v>
      </c>
      <c r="E85" s="98"/>
      <c r="F85" s="98" t="str">
        <f>"1st Group "&amp;RIGHT(F84,1)</f>
        <v>1st Group D</v>
      </c>
      <c r="G85" s="98"/>
      <c r="H85" s="98" t="str">
        <f>"1. Gruppe "&amp;RIGHT(H84,1)</f>
        <v>1. Gruppe D</v>
      </c>
    </row>
    <row r="86" spans="2:8" s="20" customFormat="1" hidden="1" x14ac:dyDescent="0.2">
      <c r="B86" s="98" t="str">
        <f>IF(Groepsloting!$C$291=1,Groepsloting!D86,IF(Groepsloting!$C$291=2,IF(ISBLANK(Groepsloting!F86),Groepsloting!D86,Groepsloting!F86),IF(Groepsloting!$C$291=3,IF(ISBLANK(Groepsloting!H86),Groepsloting!D86,Groepsloting!H86),Groepsloting!D86)))</f>
        <v>2e poule D</v>
      </c>
      <c r="C86" s="98"/>
      <c r="D86" s="98" t="str">
        <f>"2e poule "&amp;RIGHT(D85,1)</f>
        <v>2e poule D</v>
      </c>
      <c r="E86" s="98"/>
      <c r="F86" s="98" t="str">
        <f>"2nd Group "&amp;RIGHT(F85,1)</f>
        <v>2nd Group D</v>
      </c>
      <c r="G86" s="98"/>
      <c r="H86" s="98" t="str">
        <f>"2. Gruppe "&amp;RIGHT(H85,1)</f>
        <v>2. Gruppe D</v>
      </c>
    </row>
    <row r="87" spans="2:8" s="20" customFormat="1" hidden="1" x14ac:dyDescent="0.2">
      <c r="B87" s="98" t="str">
        <f>IF(Groepsloting!$C$291=1,Groepsloting!D87,IF(Groepsloting!$C$291=2,IF(ISBLANK(Groepsloting!F87),Groepsloting!D87,Groepsloting!F87),IF(Groepsloting!$C$291=3,IF(ISBLANK(Groepsloting!H87),Groepsloting!D87,Groepsloting!H87),Groepsloting!D87)))</f>
        <v>Groep E</v>
      </c>
      <c r="C87" s="98"/>
      <c r="D87" s="98" t="s">
        <v>9</v>
      </c>
      <c r="E87" s="98"/>
      <c r="F87" s="98" t="s">
        <v>127</v>
      </c>
      <c r="G87" s="98"/>
      <c r="H87" s="98" t="s">
        <v>145</v>
      </c>
    </row>
    <row r="88" spans="2:8" s="20" customFormat="1" hidden="1" x14ac:dyDescent="0.2">
      <c r="B88" s="98" t="str">
        <f>IF(Groepsloting!$C$291=1,Groepsloting!D88,IF(Groepsloting!$C$291=2,IF(ISBLANK(Groepsloting!F88),Groepsloting!D88,Groepsloting!F88),IF(Groepsloting!$C$291=3,IF(ISBLANK(Groepsloting!H88),Groepsloting!D88,Groepsloting!H88),Groepsloting!D88)))</f>
        <v>1e poule E</v>
      </c>
      <c r="C88" s="98"/>
      <c r="D88" s="98" t="str">
        <f>"1e poule "&amp;RIGHT(D87,1)</f>
        <v>1e poule E</v>
      </c>
      <c r="E88" s="98"/>
      <c r="F88" s="98" t="str">
        <f>"1st Group "&amp;RIGHT(F87,1)</f>
        <v>1st Group E</v>
      </c>
      <c r="G88" s="98"/>
      <c r="H88" s="98" t="str">
        <f>"1. Gruppe "&amp;RIGHT(H87,1)</f>
        <v>1. Gruppe E</v>
      </c>
    </row>
    <row r="89" spans="2:8" s="20" customFormat="1" hidden="1" x14ac:dyDescent="0.2">
      <c r="B89" s="98" t="str">
        <f>IF(Groepsloting!$C$291=1,Groepsloting!D89,IF(Groepsloting!$C$291=2,IF(ISBLANK(Groepsloting!F89),Groepsloting!D89,Groepsloting!F89),IF(Groepsloting!$C$291=3,IF(ISBLANK(Groepsloting!H89),Groepsloting!D89,Groepsloting!H89),Groepsloting!D89)))</f>
        <v>2e poule E</v>
      </c>
      <c r="C89" s="98"/>
      <c r="D89" s="98" t="str">
        <f>"2e poule "&amp;RIGHT(D88,1)</f>
        <v>2e poule E</v>
      </c>
      <c r="E89" s="98"/>
      <c r="F89" s="98" t="str">
        <f>"2nd Group "&amp;RIGHT(F88,1)</f>
        <v>2nd Group E</v>
      </c>
      <c r="G89" s="98"/>
      <c r="H89" s="98" t="str">
        <f>"2. Gruppe "&amp;RIGHT(H88,1)</f>
        <v>2. Gruppe E</v>
      </c>
    </row>
    <row r="90" spans="2:8" s="20" customFormat="1" hidden="1" x14ac:dyDescent="0.2">
      <c r="B90" s="98" t="str">
        <f>IF(Groepsloting!$C$291=1,Groepsloting!D90,IF(Groepsloting!$C$291=2,IF(ISBLANK(Groepsloting!F90),Groepsloting!D90,Groepsloting!F90),IF(Groepsloting!$C$291=3,IF(ISBLANK(Groepsloting!H90),Groepsloting!D90,Groepsloting!H90),Groepsloting!D90)))</f>
        <v>Groep F</v>
      </c>
      <c r="C90" s="98"/>
      <c r="D90" s="98" t="s">
        <v>10</v>
      </c>
      <c r="E90" s="98"/>
      <c r="F90" s="98" t="s">
        <v>128</v>
      </c>
      <c r="G90" s="98"/>
      <c r="H90" s="98" t="s">
        <v>146</v>
      </c>
    </row>
    <row r="91" spans="2:8" s="20" customFormat="1" hidden="1" x14ac:dyDescent="0.2">
      <c r="B91" s="98" t="str">
        <f>IF(Groepsloting!$C$291=1,Groepsloting!D91,IF(Groepsloting!$C$291=2,IF(ISBLANK(Groepsloting!F91),Groepsloting!D91,Groepsloting!F91),IF(Groepsloting!$C$291=3,IF(ISBLANK(Groepsloting!H91),Groepsloting!D91,Groepsloting!H91),Groepsloting!D91)))</f>
        <v>1e poule F</v>
      </c>
      <c r="C91" s="98"/>
      <c r="D91" s="98" t="str">
        <f>"1e poule "&amp;RIGHT(D90,1)</f>
        <v>1e poule F</v>
      </c>
      <c r="E91" s="98"/>
      <c r="F91" s="98" t="str">
        <f>"1st Group "&amp;RIGHT(F90,1)</f>
        <v>1st Group F</v>
      </c>
      <c r="G91" s="98"/>
      <c r="H91" s="98" t="str">
        <f>"1. Gruppe "&amp;RIGHT(H90,1)</f>
        <v>1. Gruppe F</v>
      </c>
    </row>
    <row r="92" spans="2:8" s="20" customFormat="1" hidden="1" x14ac:dyDescent="0.2">
      <c r="B92" s="98" t="str">
        <f>IF(Groepsloting!$C$291=1,Groepsloting!D92,IF(Groepsloting!$C$291=2,IF(ISBLANK(Groepsloting!F92),Groepsloting!D92,Groepsloting!F92),IF(Groepsloting!$C$291=3,IF(ISBLANK(Groepsloting!H92),Groepsloting!D92,Groepsloting!H92),Groepsloting!D92)))</f>
        <v>2e poule F</v>
      </c>
      <c r="C92" s="98"/>
      <c r="D92" s="98" t="str">
        <f>"2e poule "&amp;RIGHT(D91,1)</f>
        <v>2e poule F</v>
      </c>
      <c r="E92" s="98"/>
      <c r="F92" s="98" t="str">
        <f>"2nd Group "&amp;RIGHT(F91,1)</f>
        <v>2nd Group F</v>
      </c>
      <c r="G92" s="98"/>
      <c r="H92" s="98" t="str">
        <f>"2. Gruppe "&amp;RIGHT(H91,1)</f>
        <v>2. Gruppe F</v>
      </c>
    </row>
    <row r="93" spans="2:8" s="20" customFormat="1" hidden="1" x14ac:dyDescent="0.2">
      <c r="B93" s="98" t="str">
        <f>IF(Groepsloting!$C$291=1,Groepsloting!D93,IF(Groepsloting!$C$291=2,IF(ISBLANK(Groepsloting!F93),Groepsloting!D93,Groepsloting!F93),IF(Groepsloting!$C$291=3,IF(ISBLANK(Groepsloting!H93),Groepsloting!D93,Groepsloting!H93),Groepsloting!D93)))</f>
        <v>Groep G</v>
      </c>
      <c r="C93" s="98"/>
      <c r="D93" s="98" t="s">
        <v>11</v>
      </c>
      <c r="E93" s="98"/>
      <c r="F93" s="98" t="s">
        <v>129</v>
      </c>
      <c r="G93" s="98"/>
      <c r="H93" s="98" t="s">
        <v>147</v>
      </c>
    </row>
    <row r="94" spans="2:8" s="20" customFormat="1" hidden="1" x14ac:dyDescent="0.2">
      <c r="B94" s="98" t="str">
        <f>IF(Groepsloting!$C$291=1,Groepsloting!D94,IF(Groepsloting!$C$291=2,IF(ISBLANK(Groepsloting!F94),Groepsloting!D94,Groepsloting!F94),IF(Groepsloting!$C$291=3,IF(ISBLANK(Groepsloting!H94),Groepsloting!D94,Groepsloting!H94),Groepsloting!D94)))</f>
        <v>1e poule G</v>
      </c>
      <c r="C94" s="98"/>
      <c r="D94" s="98" t="str">
        <f>"1e poule "&amp;RIGHT(D93,1)</f>
        <v>1e poule G</v>
      </c>
      <c r="E94" s="98"/>
      <c r="F94" s="98" t="str">
        <f>"1st Group "&amp;RIGHT(F93,1)</f>
        <v>1st Group G</v>
      </c>
      <c r="G94" s="98"/>
      <c r="H94" s="98" t="str">
        <f>"1. Gruppe "&amp;RIGHT(H93,1)</f>
        <v>1. Gruppe G</v>
      </c>
    </row>
    <row r="95" spans="2:8" s="20" customFormat="1" hidden="1" x14ac:dyDescent="0.2">
      <c r="B95" s="98" t="str">
        <f>IF(Groepsloting!$C$291=1,Groepsloting!D95,IF(Groepsloting!$C$291=2,IF(ISBLANK(Groepsloting!F95),Groepsloting!D95,Groepsloting!F95),IF(Groepsloting!$C$291=3,IF(ISBLANK(Groepsloting!H95),Groepsloting!D95,Groepsloting!H95),Groepsloting!D95)))</f>
        <v>2e poule G</v>
      </c>
      <c r="C95" s="98"/>
      <c r="D95" s="98" t="str">
        <f>"2e poule "&amp;RIGHT(D94,1)</f>
        <v>2e poule G</v>
      </c>
      <c r="E95" s="98"/>
      <c r="F95" s="98" t="str">
        <f>"2nd Group "&amp;RIGHT(F94,1)</f>
        <v>2nd Group G</v>
      </c>
      <c r="G95" s="98"/>
      <c r="H95" s="98" t="str">
        <f>"2. Gruppe "&amp;RIGHT(H94,1)</f>
        <v>2. Gruppe G</v>
      </c>
    </row>
    <row r="96" spans="2:8" s="20" customFormat="1" hidden="1" x14ac:dyDescent="0.2">
      <c r="B96" s="98" t="str">
        <f>IF(Groepsloting!$C$291=1,Groepsloting!D96,IF(Groepsloting!$C$291=2,IF(ISBLANK(Groepsloting!F96),Groepsloting!D96,Groepsloting!F96),IF(Groepsloting!$C$291=3,IF(ISBLANK(Groepsloting!H96),Groepsloting!D96,Groepsloting!H96),Groepsloting!D96)))</f>
        <v>Groep H</v>
      </c>
      <c r="C96" s="98"/>
      <c r="D96" s="98" t="s">
        <v>12</v>
      </c>
      <c r="E96" s="98"/>
      <c r="F96" s="98" t="s">
        <v>130</v>
      </c>
      <c r="G96" s="98"/>
      <c r="H96" s="98" t="s">
        <v>148</v>
      </c>
    </row>
    <row r="97" spans="2:8" s="20" customFormat="1" hidden="1" x14ac:dyDescent="0.2">
      <c r="B97" s="98" t="str">
        <f>IF(Groepsloting!$C$291=1,Groepsloting!D97,IF(Groepsloting!$C$291=2,IF(ISBLANK(Groepsloting!F97),Groepsloting!D97,Groepsloting!F97),IF(Groepsloting!$C$291=3,IF(ISBLANK(Groepsloting!H97),Groepsloting!D97,Groepsloting!H97),Groepsloting!D97)))</f>
        <v>1e poule H</v>
      </c>
      <c r="C97" s="98"/>
      <c r="D97" s="98" t="str">
        <f>"1e poule "&amp;RIGHT(D96,1)</f>
        <v>1e poule H</v>
      </c>
      <c r="E97" s="98"/>
      <c r="F97" s="98" t="str">
        <f>"1st Group "&amp;RIGHT(F96,1)</f>
        <v>1st Group H</v>
      </c>
      <c r="G97" s="98"/>
      <c r="H97" s="98" t="str">
        <f>"1. Gruppe "&amp;RIGHT(H96,1)</f>
        <v>1. Gruppe H</v>
      </c>
    </row>
    <row r="98" spans="2:8" s="20" customFormat="1" hidden="1" x14ac:dyDescent="0.2">
      <c r="B98" s="98" t="str">
        <f>IF(Groepsloting!$C$291=1,Groepsloting!D98,IF(Groepsloting!$C$291=2,IF(ISBLANK(Groepsloting!F98),Groepsloting!D98,Groepsloting!F98),IF(Groepsloting!$C$291=3,IF(ISBLANK(Groepsloting!H98),Groepsloting!D98,Groepsloting!H98),Groepsloting!D98)))</f>
        <v>2e poule H</v>
      </c>
      <c r="C98" s="98"/>
      <c r="D98" s="98" t="str">
        <f>"2e poule "&amp;RIGHT(D97,1)</f>
        <v>2e poule H</v>
      </c>
      <c r="E98" s="98"/>
      <c r="F98" s="98" t="str">
        <f>"2nd Group "&amp;RIGHT(F97,1)</f>
        <v>2nd Group H</v>
      </c>
      <c r="G98" s="98"/>
      <c r="H98" s="98" t="str">
        <f>"2. Gruppe "&amp;RIGHT(H97,1)</f>
        <v>2. Gruppe H</v>
      </c>
    </row>
    <row r="99" spans="2:8" s="20" customFormat="1" hidden="1" x14ac:dyDescent="0.2">
      <c r="B99" s="98" t="str">
        <f>IF(Groepsloting!$C$291=1,Groepsloting!D99,IF(Groepsloting!$C$291=2,IF(ISBLANK(Groepsloting!F99),Groepsloting!D99,Groepsloting!F99),IF(Groepsloting!$C$291=3,IF(ISBLANK(Groepsloting!H99),Groepsloting!D99,Groepsloting!H99),Groepsloting!D99)))</f>
        <v>Groep I</v>
      </c>
      <c r="C99" s="98"/>
      <c r="D99" s="98" t="s">
        <v>418</v>
      </c>
      <c r="E99" s="98"/>
      <c r="F99" s="98" t="s">
        <v>589</v>
      </c>
      <c r="G99" s="98"/>
      <c r="H99" s="98" t="s">
        <v>590</v>
      </c>
    </row>
    <row r="100" spans="2:8" s="20" customFormat="1" hidden="1" x14ac:dyDescent="0.2">
      <c r="B100" s="98" t="str">
        <f>IF(Groepsloting!$C$291=1,Groepsloting!D100,IF(Groepsloting!$C$291=2,IF(ISBLANK(Groepsloting!F100),Groepsloting!D100,Groepsloting!F100),IF(Groepsloting!$C$291=3,IF(ISBLANK(Groepsloting!H100),Groepsloting!D100,Groepsloting!H100),Groepsloting!D100)))</f>
        <v>1e poule I</v>
      </c>
      <c r="C100" s="98"/>
      <c r="D100" s="98" t="str">
        <f>"1e poule "&amp;RIGHT(D99,1)</f>
        <v>1e poule I</v>
      </c>
      <c r="E100" s="98"/>
      <c r="F100" s="98" t="str">
        <f>"1st Group "&amp;RIGHT(F99,1)</f>
        <v>1st Group I</v>
      </c>
      <c r="G100" s="98"/>
      <c r="H100" s="98" t="str">
        <f>"1. Gruppe "&amp;RIGHT(H99,1)</f>
        <v>1. Gruppe I</v>
      </c>
    </row>
    <row r="101" spans="2:8" s="20" customFormat="1" hidden="1" x14ac:dyDescent="0.2">
      <c r="B101" s="98" t="str">
        <f>IF(Groepsloting!$C$291=1,Groepsloting!D101,IF(Groepsloting!$C$291=2,IF(ISBLANK(Groepsloting!F101),Groepsloting!D101,Groepsloting!F101),IF(Groepsloting!$C$291=3,IF(ISBLANK(Groepsloting!H101),Groepsloting!D101,Groepsloting!H101),Groepsloting!D101)))</f>
        <v>2e poule I</v>
      </c>
      <c r="C101" s="98"/>
      <c r="D101" s="98" t="str">
        <f>"2e poule "&amp;RIGHT(D100,1)</f>
        <v>2e poule I</v>
      </c>
      <c r="E101" s="98"/>
      <c r="F101" s="98" t="str">
        <f>"2nd Group "&amp;RIGHT(F100,1)</f>
        <v>2nd Group I</v>
      </c>
      <c r="G101" s="98"/>
      <c r="H101" s="98" t="str">
        <f>"2. Gruppe "&amp;RIGHT(H100,1)</f>
        <v>2. Gruppe I</v>
      </c>
    </row>
    <row r="102" spans="2:8" s="20" customFormat="1" hidden="1" x14ac:dyDescent="0.2">
      <c r="B102" s="98" t="str">
        <f>IF(Groepsloting!$C$291=1,Groepsloting!D102,IF(Groepsloting!$C$291=2,IF(ISBLANK(Groepsloting!F102),Groepsloting!D102,Groepsloting!F102),IF(Groepsloting!$C$291=3,IF(ISBLANK(Groepsloting!H102),Groepsloting!D102,Groepsloting!H102),Groepsloting!D102)))</f>
        <v>Groep J</v>
      </c>
      <c r="C102" s="98"/>
      <c r="D102" s="98" t="s">
        <v>419</v>
      </c>
      <c r="E102" s="98"/>
      <c r="F102" s="98" t="s">
        <v>591</v>
      </c>
      <c r="G102" s="98"/>
      <c r="H102" s="98" t="s">
        <v>592</v>
      </c>
    </row>
    <row r="103" spans="2:8" s="20" customFormat="1" hidden="1" x14ac:dyDescent="0.2">
      <c r="B103" s="98" t="str">
        <f>IF(Groepsloting!$C$291=1,Groepsloting!D103,IF(Groepsloting!$C$291=2,IF(ISBLANK(Groepsloting!F103),Groepsloting!D103,Groepsloting!F103),IF(Groepsloting!$C$291=3,IF(ISBLANK(Groepsloting!H103),Groepsloting!D103,Groepsloting!H103),Groepsloting!D103)))</f>
        <v>1e poule J</v>
      </c>
      <c r="C103" s="98"/>
      <c r="D103" s="98" t="str">
        <f>"1e poule "&amp;RIGHT(D102,1)</f>
        <v>1e poule J</v>
      </c>
      <c r="E103" s="98"/>
      <c r="F103" s="98" t="str">
        <f>"1st Group "&amp;RIGHT(F102,1)</f>
        <v>1st Group J</v>
      </c>
      <c r="G103" s="98"/>
      <c r="H103" s="98" t="str">
        <f>"1. Gruppe "&amp;RIGHT(H102,1)</f>
        <v>1. Gruppe J</v>
      </c>
    </row>
    <row r="104" spans="2:8" s="20" customFormat="1" hidden="1" x14ac:dyDescent="0.2">
      <c r="B104" s="98" t="str">
        <f>IF(Groepsloting!$C$291=1,Groepsloting!D104,IF(Groepsloting!$C$291=2,IF(ISBLANK(Groepsloting!F104),Groepsloting!D104,Groepsloting!F104),IF(Groepsloting!$C$291=3,IF(ISBLANK(Groepsloting!H104),Groepsloting!D104,Groepsloting!H104),Groepsloting!D104)))</f>
        <v>2e poule J</v>
      </c>
      <c r="C104" s="98"/>
      <c r="D104" s="98" t="str">
        <f>"2e poule "&amp;RIGHT(D103,1)</f>
        <v>2e poule J</v>
      </c>
      <c r="E104" s="98"/>
      <c r="F104" s="98" t="str">
        <f>"2nd Group "&amp;RIGHT(F103,1)</f>
        <v>2nd Group J</v>
      </c>
      <c r="G104" s="98"/>
      <c r="H104" s="98" t="str">
        <f>"2. Gruppe "&amp;RIGHT(H103,1)</f>
        <v>2. Gruppe J</v>
      </c>
    </row>
    <row r="105" spans="2:8" s="20" customFormat="1" hidden="1" x14ac:dyDescent="0.2">
      <c r="B105" s="98" t="str">
        <f>IF(Groepsloting!$C$291=1,Groepsloting!D105,IF(Groepsloting!$C$291=2,IF(ISBLANK(Groepsloting!F105),Groepsloting!D105,Groepsloting!F105),IF(Groepsloting!$C$291=3,IF(ISBLANK(Groepsloting!H105),Groepsloting!D105,Groepsloting!H105),Groepsloting!D105)))</f>
        <v>Groep K</v>
      </c>
      <c r="C105" s="98"/>
      <c r="D105" s="98" t="s">
        <v>420</v>
      </c>
      <c r="E105" s="98"/>
      <c r="F105" s="98" t="s">
        <v>593</v>
      </c>
      <c r="G105" s="98"/>
      <c r="H105" s="98" t="s">
        <v>594</v>
      </c>
    </row>
    <row r="106" spans="2:8" s="20" customFormat="1" hidden="1" x14ac:dyDescent="0.2">
      <c r="B106" s="98" t="str">
        <f>IF(Groepsloting!$C$291=1,Groepsloting!D106,IF(Groepsloting!$C$291=2,IF(ISBLANK(Groepsloting!F106),Groepsloting!D106,Groepsloting!F106),IF(Groepsloting!$C$291=3,IF(ISBLANK(Groepsloting!H106),Groepsloting!D106,Groepsloting!H106),Groepsloting!D106)))</f>
        <v>1e poule K</v>
      </c>
      <c r="C106" s="98"/>
      <c r="D106" s="98" t="str">
        <f>"1e poule "&amp;RIGHT(D105,1)</f>
        <v>1e poule K</v>
      </c>
      <c r="E106" s="98"/>
      <c r="F106" s="98" t="str">
        <f>"1st Group "&amp;RIGHT(F105,1)</f>
        <v>1st Group K</v>
      </c>
      <c r="G106" s="98"/>
      <c r="H106" s="98" t="str">
        <f>"1. Gruppe "&amp;RIGHT(H105,1)</f>
        <v>1. Gruppe K</v>
      </c>
    </row>
    <row r="107" spans="2:8" s="20" customFormat="1" hidden="1" x14ac:dyDescent="0.2">
      <c r="B107" s="98" t="str">
        <f>IF(Groepsloting!$C$291=1,Groepsloting!D107,IF(Groepsloting!$C$291=2,IF(ISBLANK(Groepsloting!F107),Groepsloting!D107,Groepsloting!F107),IF(Groepsloting!$C$291=3,IF(ISBLANK(Groepsloting!H107),Groepsloting!D107,Groepsloting!H107),Groepsloting!D107)))</f>
        <v>2e poule K</v>
      </c>
      <c r="C107" s="98"/>
      <c r="D107" s="98" t="str">
        <f>"2e poule "&amp;RIGHT(D106,1)</f>
        <v>2e poule K</v>
      </c>
      <c r="E107" s="98"/>
      <c r="F107" s="98" t="str">
        <f>"2nd Group "&amp;RIGHT(F106,1)</f>
        <v>2nd Group K</v>
      </c>
      <c r="G107" s="98"/>
      <c r="H107" s="98" t="str">
        <f>"2. Gruppe "&amp;RIGHT(H106,1)</f>
        <v>2. Gruppe K</v>
      </c>
    </row>
    <row r="108" spans="2:8" s="20" customFormat="1" hidden="1" x14ac:dyDescent="0.2">
      <c r="B108" s="98" t="str">
        <f>IF(Groepsloting!$C$291=1,Groepsloting!D108,IF(Groepsloting!$C$291=2,IF(ISBLANK(Groepsloting!F108),Groepsloting!D108,Groepsloting!F108),IF(Groepsloting!$C$291=3,IF(ISBLANK(Groepsloting!H108),Groepsloting!D108,Groepsloting!H108),Groepsloting!D108)))</f>
        <v>Groep L</v>
      </c>
      <c r="C108" s="98"/>
      <c r="D108" s="98" t="s">
        <v>421</v>
      </c>
      <c r="E108" s="98"/>
      <c r="F108" s="98" t="s">
        <v>595</v>
      </c>
      <c r="G108" s="98"/>
      <c r="H108" s="98" t="s">
        <v>596</v>
      </c>
    </row>
    <row r="109" spans="2:8" s="20" customFormat="1" hidden="1" x14ac:dyDescent="0.2">
      <c r="B109" s="98" t="str">
        <f>IF(Groepsloting!$C$291=1,Groepsloting!D109,IF(Groepsloting!$C$291=2,IF(ISBLANK(Groepsloting!F109),Groepsloting!D109,Groepsloting!F109),IF(Groepsloting!$C$291=3,IF(ISBLANK(Groepsloting!H109),Groepsloting!D109,Groepsloting!H109),Groepsloting!D109)))</f>
        <v>1e poule L</v>
      </c>
      <c r="C109" s="98"/>
      <c r="D109" s="98" t="str">
        <f>"1e poule "&amp;RIGHT(D108,1)</f>
        <v>1e poule L</v>
      </c>
      <c r="E109" s="98"/>
      <c r="F109" s="98" t="str">
        <f>"1st Group "&amp;RIGHT(F108,1)</f>
        <v>1st Group L</v>
      </c>
      <c r="G109" s="98"/>
      <c r="H109" s="98" t="str">
        <f>"1. Gruppe "&amp;RIGHT(H108,1)</f>
        <v>1. Gruppe L</v>
      </c>
    </row>
    <row r="110" spans="2:8" s="20" customFormat="1" hidden="1" x14ac:dyDescent="0.2">
      <c r="B110" s="98" t="str">
        <f>IF(Groepsloting!$C$291=1,Groepsloting!D110,IF(Groepsloting!$C$291=2,IF(ISBLANK(Groepsloting!F110),Groepsloting!D110,Groepsloting!F110),IF(Groepsloting!$C$291=3,IF(ISBLANK(Groepsloting!H110),Groepsloting!D110,Groepsloting!H110),Groepsloting!D110)))</f>
        <v>2e poule L</v>
      </c>
      <c r="C110" s="98"/>
      <c r="D110" s="98" t="str">
        <f>"2e poule "&amp;RIGHT(D109,1)</f>
        <v>2e poule L</v>
      </c>
      <c r="E110" s="98"/>
      <c r="F110" s="98" t="str">
        <f>"2nd Group "&amp;RIGHT(F109,1)</f>
        <v>2nd Group L</v>
      </c>
      <c r="G110" s="98"/>
      <c r="H110" s="98" t="str">
        <f>"2. Gruppe "&amp;RIGHT(H109,1)</f>
        <v>2. Gruppe L</v>
      </c>
    </row>
    <row r="111" spans="2:8" s="20" customFormat="1" hidden="1" x14ac:dyDescent="0.2">
      <c r="B111" s="98" t="str">
        <f>IF(Groepsloting!$C$291=1,Groepsloting!D111,IF(Groepsloting!$C$291=2,IF(ISBLANK(Groepsloting!F111),Groepsloting!D111,Groepsloting!F111),IF(Groepsloting!$C$291=3,IF(ISBLANK(Groepsloting!H111),Groepsloting!D111,Groepsloting!H111),Groepsloting!D111)))</f>
        <v>3e Poule ABCDF</v>
      </c>
      <c r="C111" s="98"/>
      <c r="D111" s="4" t="s">
        <v>510</v>
      </c>
      <c r="E111" s="98"/>
      <c r="F111" s="4" t="s">
        <v>597</v>
      </c>
      <c r="G111" s="98"/>
      <c r="H111" s="4" t="s">
        <v>605</v>
      </c>
    </row>
    <row r="112" spans="2:8" s="20" customFormat="1" hidden="1" x14ac:dyDescent="0.2">
      <c r="B112" s="98" t="str">
        <f>IF(Groepsloting!$C$291=1,Groepsloting!D112,IF(Groepsloting!$C$291=2,IF(ISBLANK(Groepsloting!F112),Groepsloting!D112,Groepsloting!F112),IF(Groepsloting!$C$291=3,IF(ISBLANK(Groepsloting!H112),Groepsloting!D112,Groepsloting!H112),Groepsloting!D112)))</f>
        <v>3e Poule CDFGH</v>
      </c>
      <c r="C112" s="98"/>
      <c r="D112" s="4" t="s">
        <v>511</v>
      </c>
      <c r="E112" s="98"/>
      <c r="F112" s="4" t="s">
        <v>598</v>
      </c>
      <c r="G112" s="98"/>
      <c r="H112" s="4" t="s">
        <v>606</v>
      </c>
    </row>
    <row r="113" spans="2:8" s="20" customFormat="1" hidden="1" x14ac:dyDescent="0.2">
      <c r="B113" s="98" t="str">
        <f>IF(Groepsloting!$C$291=1,Groepsloting!D113,IF(Groepsloting!$C$291=2,IF(ISBLANK(Groepsloting!F113),Groepsloting!D113,Groepsloting!F113),IF(Groepsloting!$C$291=3,IF(ISBLANK(Groepsloting!H113),Groepsloting!D113,Groepsloting!H113),Groepsloting!D113)))</f>
        <v>3e Poule CEFHI</v>
      </c>
      <c r="C113" s="98"/>
      <c r="D113" s="4" t="s">
        <v>512</v>
      </c>
      <c r="E113" s="98"/>
      <c r="F113" s="4" t="s">
        <v>599</v>
      </c>
      <c r="G113" s="98"/>
      <c r="H113" s="4" t="s">
        <v>607</v>
      </c>
    </row>
    <row r="114" spans="2:8" s="20" customFormat="1" hidden="1" x14ac:dyDescent="0.2">
      <c r="B114" s="98" t="str">
        <f>IF(Groepsloting!$C$291=1,Groepsloting!D114,IF(Groepsloting!$C$291=2,IF(ISBLANK(Groepsloting!F114),Groepsloting!D114,Groepsloting!F114),IF(Groepsloting!$C$291=3,IF(ISBLANK(Groepsloting!H114),Groepsloting!D114,Groepsloting!H114),Groepsloting!D114)))</f>
        <v>3e Poule EHIJK</v>
      </c>
      <c r="C114" s="98"/>
      <c r="D114" s="4" t="s">
        <v>513</v>
      </c>
      <c r="E114" s="98"/>
      <c r="F114" s="4" t="s">
        <v>600</v>
      </c>
      <c r="G114" s="98"/>
      <c r="H114" s="4" t="s">
        <v>608</v>
      </c>
    </row>
    <row r="115" spans="2:8" s="20" customFormat="1" hidden="1" x14ac:dyDescent="0.2">
      <c r="B115" s="98" t="str">
        <f>IF(Groepsloting!$C$291=1,Groepsloting!D115,IF(Groepsloting!$C$291=2,IF(ISBLANK(Groepsloting!F115),Groepsloting!D115,Groepsloting!F115),IF(Groepsloting!$C$291=3,IF(ISBLANK(Groepsloting!H115),Groepsloting!D115,Groepsloting!H115),Groepsloting!D115)))</f>
        <v>3e Poule AEHIJ</v>
      </c>
      <c r="C115" s="98"/>
      <c r="D115" s="4" t="s">
        <v>514</v>
      </c>
      <c r="E115" s="98"/>
      <c r="F115" s="4" t="s">
        <v>601</v>
      </c>
      <c r="G115" s="98"/>
      <c r="H115" s="4" t="s">
        <v>609</v>
      </c>
    </row>
    <row r="116" spans="2:8" s="20" customFormat="1" hidden="1" x14ac:dyDescent="0.2">
      <c r="B116" s="98" t="str">
        <f>IF(Groepsloting!$C$291=1,Groepsloting!D116,IF(Groepsloting!$C$291=2,IF(ISBLANK(Groepsloting!F116),Groepsloting!D116,Groepsloting!F116),IF(Groepsloting!$C$291=3,IF(ISBLANK(Groepsloting!H116),Groepsloting!D116,Groepsloting!H116),Groepsloting!D116)))</f>
        <v>3e Poule BEFIJ</v>
      </c>
      <c r="C116" s="98"/>
      <c r="D116" s="4" t="s">
        <v>515</v>
      </c>
      <c r="E116" s="98"/>
      <c r="F116" s="4" t="s">
        <v>602</v>
      </c>
      <c r="G116" s="98"/>
      <c r="H116" s="4" t="s">
        <v>610</v>
      </c>
    </row>
    <row r="117" spans="2:8" s="20" customFormat="1" hidden="1" x14ac:dyDescent="0.2">
      <c r="B117" s="98" t="str">
        <f>IF(Groepsloting!$C$291=1,Groepsloting!D117,IF(Groepsloting!$C$291=2,IF(ISBLANK(Groepsloting!F117),Groepsloting!D117,Groepsloting!F117),IF(Groepsloting!$C$291=3,IF(ISBLANK(Groepsloting!H117),Groepsloting!D117,Groepsloting!H117),Groepsloting!D117)))</f>
        <v>3e Poule EFGIJ</v>
      </c>
      <c r="C117" s="98"/>
      <c r="D117" s="4" t="s">
        <v>516</v>
      </c>
      <c r="E117" s="98"/>
      <c r="F117" s="4" t="s">
        <v>603</v>
      </c>
      <c r="G117" s="98"/>
      <c r="H117" s="4" t="s">
        <v>611</v>
      </c>
    </row>
    <row r="118" spans="2:8" s="20" customFormat="1" hidden="1" x14ac:dyDescent="0.2">
      <c r="B118" s="98" t="str">
        <f>IF(Groepsloting!$C$291=1,Groepsloting!D118,IF(Groepsloting!$C$291=2,IF(ISBLANK(Groepsloting!F118),Groepsloting!D118,Groepsloting!F118),IF(Groepsloting!$C$291=3,IF(ISBLANK(Groepsloting!H118),Groepsloting!D118,Groepsloting!H118),Groepsloting!D118)))</f>
        <v>3e Poule DEIJL</v>
      </c>
      <c r="C118" s="98"/>
      <c r="D118" s="4" t="s">
        <v>517</v>
      </c>
      <c r="E118" s="98"/>
      <c r="F118" s="4" t="s">
        <v>604</v>
      </c>
      <c r="G118" s="98"/>
      <c r="H118" s="4" t="s">
        <v>612</v>
      </c>
    </row>
    <row r="119" spans="2:8" s="20" customFormat="1" hidden="1" x14ac:dyDescent="0.2">
      <c r="B119" s="98" t="str">
        <f>IF(Groepsloting!$C$291=1,Groepsloting!D119,IF(Groepsloting!$C$291=2,IF(ISBLANK(Groepsloting!F119),Groepsloting!D119,Groepsloting!F119),IF(Groepsloting!$C$291=3,IF(ISBLANK(Groepsloting!H119),Groepsloting!D119,Groepsloting!H119),Groepsloting!D119)))</f>
        <v>Wedstrijd</v>
      </c>
      <c r="C119" s="98"/>
      <c r="D119" s="98" t="s">
        <v>2</v>
      </c>
      <c r="E119" s="98"/>
      <c r="F119" s="98" t="s">
        <v>151</v>
      </c>
      <c r="G119" s="98"/>
      <c r="H119" s="98" t="s">
        <v>154</v>
      </c>
    </row>
    <row r="120" spans="2:8" s="20" customFormat="1" hidden="1" x14ac:dyDescent="0.2">
      <c r="B120" s="98" t="str">
        <f>IF(Groepsloting!$C$291=1,Groepsloting!D120,IF(Groepsloting!$C$291=2,IF(ISBLANK(Groepsloting!F120),Groepsloting!D120,Groepsloting!F120),IF(Groepsloting!$C$291=3,IF(ISBLANK(Groepsloting!H120),Groepsloting!D120,Groepsloting!H120),Groepsloting!D120)))</f>
        <v>Uitslag</v>
      </c>
      <c r="C120" s="98"/>
      <c r="D120" s="98" t="s">
        <v>3</v>
      </c>
      <c r="E120" s="98"/>
      <c r="F120" s="98" t="s">
        <v>152</v>
      </c>
      <c r="G120" s="98"/>
      <c r="H120" s="98" t="s">
        <v>153</v>
      </c>
    </row>
    <row r="121" spans="2:8" s="20" customFormat="1" hidden="1" x14ac:dyDescent="0.2">
      <c r="B121" s="98" t="str">
        <f>IF(Groepsloting!$C$291=1,Groepsloting!D121,IF(Groepsloting!$C$291=2,IF(ISBLANK(Groepsloting!F121),Groepsloting!D121,Groepsloting!F121),IF(Groepsloting!$C$291=3,IF(ISBLANK(Groepsloting!H121),Groepsloting!D121,Groepsloting!H121),Groepsloting!D121)))</f>
        <v>Toto</v>
      </c>
      <c r="C121" s="98"/>
      <c r="D121" s="98" t="s">
        <v>4</v>
      </c>
      <c r="E121" s="98"/>
      <c r="F121" s="98" t="s">
        <v>4</v>
      </c>
      <c r="G121" s="98"/>
      <c r="H121" s="98" t="s">
        <v>4</v>
      </c>
    </row>
    <row r="122" spans="2:8" s="20" customFormat="1" hidden="1" x14ac:dyDescent="0.2">
      <c r="B122" s="98" t="str">
        <f>IF(Groepsloting!$C$291=1,Groepsloting!D122,IF(Groepsloting!$C$291=2,IF(ISBLANK(Groepsloting!F122),Groepsloting!D122,Groepsloting!F122),IF(Groepsloting!$C$291=3,IF(ISBLANK(Groepsloting!H122),Groepsloting!D122,Groepsloting!H122),Groepsloting!D122)))</f>
        <v>Datum</v>
      </c>
      <c r="C122" s="98"/>
      <c r="D122" s="98" t="s">
        <v>196</v>
      </c>
      <c r="E122" s="98"/>
      <c r="F122" s="98" t="s">
        <v>208</v>
      </c>
      <c r="G122" s="98"/>
      <c r="H122" s="98" t="s">
        <v>196</v>
      </c>
    </row>
    <row r="123" spans="2:8" s="20" customFormat="1" hidden="1" x14ac:dyDescent="0.2">
      <c r="B123" s="98" t="str">
        <f>IF(Groepsloting!$C$291=1,Groepsloting!D123,IF(Groepsloting!$C$291=2,IF(ISBLANK(Groepsloting!F123),Groepsloting!D123,Groepsloting!F123),IF(Groepsloting!$C$291=3,IF(ISBLANK(Groepsloting!H123),Groepsloting!D123,Groepsloting!H123),Groepsloting!D123)))</f>
        <v>Zestiende finales</v>
      </c>
      <c r="C123" s="98"/>
      <c r="D123" s="98" t="s">
        <v>494</v>
      </c>
      <c r="E123" s="98"/>
      <c r="F123" s="98" t="s">
        <v>495</v>
      </c>
      <c r="G123" s="98"/>
      <c r="H123" s="98" t="s">
        <v>588</v>
      </c>
    </row>
    <row r="124" spans="2:8" s="20" customFormat="1" hidden="1" x14ac:dyDescent="0.2">
      <c r="B124" s="98" t="str">
        <f>IF(Groepsloting!$C$291=1,Groepsloting!D124,IF(Groepsloting!$C$291=2,IF(ISBLANK(Groepsloting!F124),Groepsloting!D124,Groepsloting!F124),IF(Groepsloting!$C$291=3,IF(ISBLANK(Groepsloting!H124),Groepsloting!D124,Groepsloting!H124),Groepsloting!D124)))</f>
        <v>vul winnaar in ZF1</v>
      </c>
      <c r="C124" s="98"/>
      <c r="D124" s="90" t="s">
        <v>540</v>
      </c>
      <c r="E124" s="98"/>
      <c r="F124" s="98" t="s">
        <v>556</v>
      </c>
      <c r="G124" s="98"/>
      <c r="H124" s="98" t="s">
        <v>572</v>
      </c>
    </row>
    <row r="125" spans="2:8" s="20" customFormat="1" hidden="1" x14ac:dyDescent="0.2">
      <c r="B125" s="98" t="str">
        <f>IF(Groepsloting!$C$291=1,Groepsloting!D125,IF(Groepsloting!$C$291=2,IF(ISBLANK(Groepsloting!F125),Groepsloting!D125,Groepsloting!F125),IF(Groepsloting!$C$291=3,IF(ISBLANK(Groepsloting!H125),Groepsloting!D125,Groepsloting!H125),Groepsloting!D125)))</f>
        <v>vul winnaar in ZF2</v>
      </c>
      <c r="C125" s="98"/>
      <c r="D125" s="90" t="s">
        <v>541</v>
      </c>
      <c r="E125" s="98"/>
      <c r="F125" s="98" t="s">
        <v>557</v>
      </c>
      <c r="G125" s="98"/>
      <c r="H125" s="98" t="s">
        <v>573</v>
      </c>
    </row>
    <row r="126" spans="2:8" s="20" customFormat="1" hidden="1" x14ac:dyDescent="0.2">
      <c r="B126" s="98" t="str">
        <f>IF(Groepsloting!$C$291=1,Groepsloting!D126,IF(Groepsloting!$C$291=2,IF(ISBLANK(Groepsloting!F126),Groepsloting!D126,Groepsloting!F126),IF(Groepsloting!$C$291=3,IF(ISBLANK(Groepsloting!H126),Groepsloting!D126,Groepsloting!H126),Groepsloting!D126)))</f>
        <v>vul winnaar in ZF3</v>
      </c>
      <c r="C126" s="98"/>
      <c r="D126" s="90" t="s">
        <v>542</v>
      </c>
      <c r="E126" s="98"/>
      <c r="F126" s="98" t="s">
        <v>558</v>
      </c>
      <c r="G126" s="98"/>
      <c r="H126" s="98" t="s">
        <v>574</v>
      </c>
    </row>
    <row r="127" spans="2:8" s="20" customFormat="1" hidden="1" x14ac:dyDescent="0.2">
      <c r="B127" s="98" t="str">
        <f>IF(Groepsloting!$C$291=1,Groepsloting!D127,IF(Groepsloting!$C$291=2,IF(ISBLANK(Groepsloting!F127),Groepsloting!D127,Groepsloting!F127),IF(Groepsloting!$C$291=3,IF(ISBLANK(Groepsloting!H127),Groepsloting!D127,Groepsloting!H127),Groepsloting!D127)))</f>
        <v>vul winnaar in ZF4</v>
      </c>
      <c r="C127" s="98"/>
      <c r="D127" s="90" t="s">
        <v>543</v>
      </c>
      <c r="E127" s="98"/>
      <c r="F127" s="98" t="s">
        <v>559</v>
      </c>
      <c r="G127" s="98"/>
      <c r="H127" s="98" t="s">
        <v>575</v>
      </c>
    </row>
    <row r="128" spans="2:8" s="20" customFormat="1" hidden="1" x14ac:dyDescent="0.2">
      <c r="B128" s="98" t="str">
        <f>IF(Groepsloting!$C$291=1,Groepsloting!D128,IF(Groepsloting!$C$291=2,IF(ISBLANK(Groepsloting!F128),Groepsloting!D128,Groepsloting!F128),IF(Groepsloting!$C$291=3,IF(ISBLANK(Groepsloting!H128),Groepsloting!D128,Groepsloting!H128),Groepsloting!D128)))</f>
        <v>vul winnaar in ZF5</v>
      </c>
      <c r="C128" s="98"/>
      <c r="D128" s="90" t="s">
        <v>544</v>
      </c>
      <c r="E128" s="98"/>
      <c r="F128" s="98" t="s">
        <v>560</v>
      </c>
      <c r="G128" s="98"/>
      <c r="H128" s="98" t="s">
        <v>576</v>
      </c>
    </row>
    <row r="129" spans="2:8" s="20" customFormat="1" hidden="1" x14ac:dyDescent="0.2">
      <c r="B129" s="98" t="str">
        <f>IF(Groepsloting!$C$291=1,Groepsloting!D129,IF(Groepsloting!$C$291=2,IF(ISBLANK(Groepsloting!F129),Groepsloting!D129,Groepsloting!F129),IF(Groepsloting!$C$291=3,IF(ISBLANK(Groepsloting!H129),Groepsloting!D129,Groepsloting!H129),Groepsloting!D129)))</f>
        <v>vul winnaar in ZF6</v>
      </c>
      <c r="C129" s="98"/>
      <c r="D129" s="90" t="s">
        <v>545</v>
      </c>
      <c r="E129" s="98"/>
      <c r="F129" s="98" t="s">
        <v>561</v>
      </c>
      <c r="G129" s="98"/>
      <c r="H129" s="98" t="s">
        <v>577</v>
      </c>
    </row>
    <row r="130" spans="2:8" s="20" customFormat="1" hidden="1" x14ac:dyDescent="0.2">
      <c r="B130" s="98" t="str">
        <f>IF(Groepsloting!$C$291=1,Groepsloting!D130,IF(Groepsloting!$C$291=2,IF(ISBLANK(Groepsloting!F130),Groepsloting!D130,Groepsloting!F130),IF(Groepsloting!$C$291=3,IF(ISBLANK(Groepsloting!H130),Groepsloting!D130,Groepsloting!H130),Groepsloting!D130)))</f>
        <v>vul winnaar in ZF7</v>
      </c>
      <c r="C130" s="98"/>
      <c r="D130" s="90" t="s">
        <v>546</v>
      </c>
      <c r="E130" s="98"/>
      <c r="F130" s="98" t="s">
        <v>562</v>
      </c>
      <c r="G130" s="98"/>
      <c r="H130" s="98" t="s">
        <v>578</v>
      </c>
    </row>
    <row r="131" spans="2:8" s="20" customFormat="1" hidden="1" x14ac:dyDescent="0.2">
      <c r="B131" s="98" t="str">
        <f>IF(Groepsloting!$C$291=1,Groepsloting!D131,IF(Groepsloting!$C$291=2,IF(ISBLANK(Groepsloting!F131),Groepsloting!D131,Groepsloting!F131),IF(Groepsloting!$C$291=3,IF(ISBLANK(Groepsloting!H131),Groepsloting!D131,Groepsloting!H131),Groepsloting!D131)))</f>
        <v>vul winnaar in ZF8</v>
      </c>
      <c r="C131" s="98"/>
      <c r="D131" s="90" t="s">
        <v>547</v>
      </c>
      <c r="E131" s="98"/>
      <c r="F131" s="98" t="s">
        <v>563</v>
      </c>
      <c r="G131" s="98"/>
      <c r="H131" s="98" t="s">
        <v>579</v>
      </c>
    </row>
    <row r="132" spans="2:8" s="20" customFormat="1" hidden="1" x14ac:dyDescent="0.2">
      <c r="B132" s="98" t="str">
        <f>IF(Groepsloting!$C$291=1,Groepsloting!D132,IF(Groepsloting!$C$291=2,IF(ISBLANK(Groepsloting!F132),Groepsloting!D132,Groepsloting!F132),IF(Groepsloting!$C$291=3,IF(ISBLANK(Groepsloting!H132),Groepsloting!D132,Groepsloting!H132),Groepsloting!D132)))</f>
        <v>vul winnaar in ZF9</v>
      </c>
      <c r="C132" s="98"/>
      <c r="D132" s="90" t="s">
        <v>548</v>
      </c>
      <c r="E132" s="98"/>
      <c r="F132" s="98" t="s">
        <v>564</v>
      </c>
      <c r="G132" s="98"/>
      <c r="H132" s="98" t="s">
        <v>580</v>
      </c>
    </row>
    <row r="133" spans="2:8" s="20" customFormat="1" hidden="1" x14ac:dyDescent="0.2">
      <c r="B133" s="98" t="str">
        <f>IF(Groepsloting!$C$291=1,Groepsloting!D133,IF(Groepsloting!$C$291=2,IF(ISBLANK(Groepsloting!F133),Groepsloting!D133,Groepsloting!F133),IF(Groepsloting!$C$291=3,IF(ISBLANK(Groepsloting!H133),Groepsloting!D133,Groepsloting!H133),Groepsloting!D133)))</f>
        <v>vul winnaar in ZF10</v>
      </c>
      <c r="C133" s="98"/>
      <c r="D133" s="90" t="s">
        <v>549</v>
      </c>
      <c r="E133" s="98"/>
      <c r="F133" s="98" t="s">
        <v>565</v>
      </c>
      <c r="G133" s="98"/>
      <c r="H133" s="98" t="s">
        <v>581</v>
      </c>
    </row>
    <row r="134" spans="2:8" s="20" customFormat="1" hidden="1" x14ac:dyDescent="0.2">
      <c r="B134" s="98" t="str">
        <f>IF(Groepsloting!$C$291=1,Groepsloting!D134,IF(Groepsloting!$C$291=2,IF(ISBLANK(Groepsloting!F134),Groepsloting!D134,Groepsloting!F134),IF(Groepsloting!$C$291=3,IF(ISBLANK(Groepsloting!H134),Groepsloting!D134,Groepsloting!H134),Groepsloting!D134)))</f>
        <v>vul winnaar in ZF11</v>
      </c>
      <c r="C134" s="98"/>
      <c r="D134" s="90" t="s">
        <v>550</v>
      </c>
      <c r="E134" s="98"/>
      <c r="F134" s="98" t="s">
        <v>566</v>
      </c>
      <c r="G134" s="98"/>
      <c r="H134" s="98" t="s">
        <v>582</v>
      </c>
    </row>
    <row r="135" spans="2:8" s="20" customFormat="1" hidden="1" x14ac:dyDescent="0.2">
      <c r="B135" s="98" t="str">
        <f>IF(Groepsloting!$C$291=1,Groepsloting!D135,IF(Groepsloting!$C$291=2,IF(ISBLANK(Groepsloting!F135),Groepsloting!D135,Groepsloting!F135),IF(Groepsloting!$C$291=3,IF(ISBLANK(Groepsloting!H135),Groepsloting!D135,Groepsloting!H135),Groepsloting!D135)))</f>
        <v>vul winnaar in ZF12</v>
      </c>
      <c r="C135" s="98"/>
      <c r="D135" s="90" t="s">
        <v>551</v>
      </c>
      <c r="E135" s="98"/>
      <c r="F135" s="98" t="s">
        <v>567</v>
      </c>
      <c r="G135" s="98"/>
      <c r="H135" s="98" t="s">
        <v>583</v>
      </c>
    </row>
    <row r="136" spans="2:8" s="20" customFormat="1" hidden="1" x14ac:dyDescent="0.2">
      <c r="B136" s="98" t="str">
        <f>IF(Groepsloting!$C$291=1,Groepsloting!D136,IF(Groepsloting!$C$291=2,IF(ISBLANK(Groepsloting!F136),Groepsloting!D136,Groepsloting!F136),IF(Groepsloting!$C$291=3,IF(ISBLANK(Groepsloting!H136),Groepsloting!D136,Groepsloting!H136),Groepsloting!D136)))</f>
        <v>vul winnaar in ZF13</v>
      </c>
      <c r="C136" s="98"/>
      <c r="D136" s="90" t="s">
        <v>552</v>
      </c>
      <c r="E136" s="98"/>
      <c r="F136" s="98" t="s">
        <v>568</v>
      </c>
      <c r="G136" s="98"/>
      <c r="H136" s="98" t="s">
        <v>584</v>
      </c>
    </row>
    <row r="137" spans="2:8" s="20" customFormat="1" hidden="1" x14ac:dyDescent="0.2">
      <c r="B137" s="98" t="str">
        <f>IF(Groepsloting!$C$291=1,Groepsloting!D137,IF(Groepsloting!$C$291=2,IF(ISBLANK(Groepsloting!F137),Groepsloting!D137,Groepsloting!F137),IF(Groepsloting!$C$291=3,IF(ISBLANK(Groepsloting!H137),Groepsloting!D137,Groepsloting!H137),Groepsloting!D137)))</f>
        <v>vul winnaar in ZF14</v>
      </c>
      <c r="C137" s="98"/>
      <c r="D137" s="90" t="s">
        <v>553</v>
      </c>
      <c r="E137" s="98"/>
      <c r="F137" s="98" t="s">
        <v>569</v>
      </c>
      <c r="G137" s="98"/>
      <c r="H137" s="98" t="s">
        <v>585</v>
      </c>
    </row>
    <row r="138" spans="2:8" s="20" customFormat="1" hidden="1" x14ac:dyDescent="0.2">
      <c r="B138" s="98" t="str">
        <f>IF(Groepsloting!$C$291=1,Groepsloting!D138,IF(Groepsloting!$C$291=2,IF(ISBLANK(Groepsloting!F138),Groepsloting!D138,Groepsloting!F138),IF(Groepsloting!$C$291=3,IF(ISBLANK(Groepsloting!H138),Groepsloting!D138,Groepsloting!H138),Groepsloting!D138)))</f>
        <v>vul winnaar in ZF15</v>
      </c>
      <c r="C138" s="98"/>
      <c r="D138" s="90" t="s">
        <v>554</v>
      </c>
      <c r="E138" s="98"/>
      <c r="F138" s="98" t="s">
        <v>570</v>
      </c>
      <c r="G138" s="98"/>
      <c r="H138" s="98" t="s">
        <v>586</v>
      </c>
    </row>
    <row r="139" spans="2:8" s="20" customFormat="1" hidden="1" x14ac:dyDescent="0.2">
      <c r="B139" s="98" t="str">
        <f>IF(Groepsloting!$C$291=1,Groepsloting!D139,IF(Groepsloting!$C$291=2,IF(ISBLANK(Groepsloting!F139),Groepsloting!D139,Groepsloting!F139),IF(Groepsloting!$C$291=3,IF(ISBLANK(Groepsloting!H139),Groepsloting!D139,Groepsloting!H139),Groepsloting!D139)))</f>
        <v>vul winnaar in ZF16</v>
      </c>
      <c r="C139" s="98"/>
      <c r="D139" s="90" t="s">
        <v>555</v>
      </c>
      <c r="E139" s="98"/>
      <c r="F139" s="98" t="s">
        <v>571</v>
      </c>
      <c r="G139" s="98"/>
      <c r="H139" s="98" t="s">
        <v>587</v>
      </c>
    </row>
    <row r="140" spans="2:8" s="20" customFormat="1" hidden="1" x14ac:dyDescent="0.2">
      <c r="B140" s="98" t="str">
        <f>IF(Groepsloting!$C$291=1,Groepsloting!D140,IF(Groepsloting!$C$291=2,IF(ISBLANK(Groepsloting!F140),Groepsloting!D140,Groepsloting!F140),IF(Groepsloting!$C$291=3,IF(ISBLANK(Groepsloting!H140),Groepsloting!D140,Groepsloting!H140),Groepsloting!D140)))</f>
        <v>Achtste finales</v>
      </c>
      <c r="C140" s="98"/>
      <c r="D140" s="98" t="s">
        <v>13</v>
      </c>
      <c r="E140" s="98"/>
      <c r="F140" s="98" t="s">
        <v>159</v>
      </c>
      <c r="G140" s="98"/>
      <c r="H140" s="98" t="s">
        <v>155</v>
      </c>
    </row>
    <row r="141" spans="2:8" s="20" customFormat="1" hidden="1" x14ac:dyDescent="0.2">
      <c r="B141" s="98" t="str">
        <f>IF(Groepsloting!$C$291=1,Groepsloting!D141,IF(Groepsloting!$C$291=2,IF(ISBLANK(Groepsloting!F141),Groepsloting!D141,Groepsloting!F141),IF(Groepsloting!$C$291=3,IF(ISBLANK(Groepsloting!H141),Groepsloting!D141,Groepsloting!H141),Groepsloting!D141)))</f>
        <v>vul winnaar in AF1</v>
      </c>
      <c r="C141" s="98"/>
      <c r="D141" s="90" t="s">
        <v>211</v>
      </c>
      <c r="E141" s="98"/>
      <c r="F141" s="98" t="s">
        <v>234</v>
      </c>
      <c r="G141" s="98"/>
      <c r="H141" s="98" t="s">
        <v>250</v>
      </c>
    </row>
    <row r="142" spans="2:8" s="20" customFormat="1" hidden="1" x14ac:dyDescent="0.2">
      <c r="B142" s="98" t="str">
        <f>IF(Groepsloting!$C$291=1,Groepsloting!D142,IF(Groepsloting!$C$291=2,IF(ISBLANK(Groepsloting!F142),Groepsloting!D142,Groepsloting!F142),IF(Groepsloting!$C$291=3,IF(ISBLANK(Groepsloting!H142),Groepsloting!D142,Groepsloting!H142),Groepsloting!D142)))</f>
        <v>vul winnaar in AF2</v>
      </c>
      <c r="C142" s="98"/>
      <c r="D142" s="90" t="s">
        <v>212</v>
      </c>
      <c r="E142" s="98"/>
      <c r="F142" s="98" t="s">
        <v>235</v>
      </c>
      <c r="G142" s="98"/>
      <c r="H142" s="98" t="s">
        <v>251</v>
      </c>
    </row>
    <row r="143" spans="2:8" s="20" customFormat="1" hidden="1" x14ac:dyDescent="0.2">
      <c r="B143" s="98" t="str">
        <f>IF(Groepsloting!$C$291=1,Groepsloting!D143,IF(Groepsloting!$C$291=2,IF(ISBLANK(Groepsloting!F143),Groepsloting!D143,Groepsloting!F143),IF(Groepsloting!$C$291=3,IF(ISBLANK(Groepsloting!H143),Groepsloting!D143,Groepsloting!H143),Groepsloting!D143)))</f>
        <v>vul winnaar in AF3</v>
      </c>
      <c r="C143" s="98"/>
      <c r="D143" s="90" t="s">
        <v>213</v>
      </c>
      <c r="E143" s="98"/>
      <c r="F143" s="98" t="s">
        <v>236</v>
      </c>
      <c r="G143" s="98"/>
      <c r="H143" s="98" t="s">
        <v>252</v>
      </c>
    </row>
    <row r="144" spans="2:8" s="20" customFormat="1" hidden="1" x14ac:dyDescent="0.2">
      <c r="B144" s="98" t="str">
        <f>IF(Groepsloting!$C$291=1,Groepsloting!D144,IF(Groepsloting!$C$291=2,IF(ISBLANK(Groepsloting!F144),Groepsloting!D144,Groepsloting!F144),IF(Groepsloting!$C$291=3,IF(ISBLANK(Groepsloting!H144),Groepsloting!D144,Groepsloting!H144),Groepsloting!D144)))</f>
        <v>vul winnaar in AF4</v>
      </c>
      <c r="C144" s="98"/>
      <c r="D144" s="90" t="s">
        <v>214</v>
      </c>
      <c r="E144" s="98"/>
      <c r="F144" s="98" t="s">
        <v>237</v>
      </c>
      <c r="G144" s="98"/>
      <c r="H144" s="98" t="s">
        <v>253</v>
      </c>
    </row>
    <row r="145" spans="2:8" s="20" customFormat="1" hidden="1" x14ac:dyDescent="0.2">
      <c r="B145" s="98" t="str">
        <f>IF(Groepsloting!$C$291=1,Groepsloting!D145,IF(Groepsloting!$C$291=2,IF(ISBLANK(Groepsloting!F145),Groepsloting!D145,Groepsloting!F145),IF(Groepsloting!$C$291=3,IF(ISBLANK(Groepsloting!H145),Groepsloting!D145,Groepsloting!H145),Groepsloting!D145)))</f>
        <v>vul winnaar in AF5</v>
      </c>
      <c r="C145" s="98"/>
      <c r="D145" s="90" t="s">
        <v>215</v>
      </c>
      <c r="E145" s="98"/>
      <c r="F145" s="98" t="s">
        <v>238</v>
      </c>
      <c r="G145" s="98"/>
      <c r="H145" s="98" t="s">
        <v>254</v>
      </c>
    </row>
    <row r="146" spans="2:8" s="20" customFormat="1" hidden="1" x14ac:dyDescent="0.2">
      <c r="B146" s="98" t="str">
        <f>IF(Groepsloting!$C$291=1,Groepsloting!D146,IF(Groepsloting!$C$291=2,IF(ISBLANK(Groepsloting!F146),Groepsloting!D146,Groepsloting!F146),IF(Groepsloting!$C$291=3,IF(ISBLANK(Groepsloting!H146),Groepsloting!D146,Groepsloting!H146),Groepsloting!D146)))</f>
        <v>vul winnaar in AF6</v>
      </c>
      <c r="C146" s="98"/>
      <c r="D146" s="90" t="s">
        <v>216</v>
      </c>
      <c r="E146" s="98"/>
      <c r="F146" s="98" t="s">
        <v>239</v>
      </c>
      <c r="G146" s="98"/>
      <c r="H146" s="98" t="s">
        <v>255</v>
      </c>
    </row>
    <row r="147" spans="2:8" s="20" customFormat="1" hidden="1" x14ac:dyDescent="0.2">
      <c r="B147" s="98" t="str">
        <f>IF(Groepsloting!$C$291=1,Groepsloting!D147,IF(Groepsloting!$C$291=2,IF(ISBLANK(Groepsloting!F147),Groepsloting!D147,Groepsloting!F147),IF(Groepsloting!$C$291=3,IF(ISBLANK(Groepsloting!H147),Groepsloting!D147,Groepsloting!H147),Groepsloting!D147)))</f>
        <v>vul winnaar in AF7</v>
      </c>
      <c r="C147" s="98"/>
      <c r="D147" s="90" t="s">
        <v>217</v>
      </c>
      <c r="E147" s="98"/>
      <c r="F147" s="98" t="s">
        <v>240</v>
      </c>
      <c r="G147" s="98"/>
      <c r="H147" s="98" t="s">
        <v>256</v>
      </c>
    </row>
    <row r="148" spans="2:8" s="20" customFormat="1" hidden="1" x14ac:dyDescent="0.2">
      <c r="B148" s="98" t="str">
        <f>IF(Groepsloting!$C$291=1,Groepsloting!D148,IF(Groepsloting!$C$291=2,IF(ISBLANK(Groepsloting!F148),Groepsloting!D148,Groepsloting!F148),IF(Groepsloting!$C$291=3,IF(ISBLANK(Groepsloting!H148),Groepsloting!D148,Groepsloting!H148),Groepsloting!D148)))</f>
        <v>vul winnaar in AF8</v>
      </c>
      <c r="C148" s="98"/>
      <c r="D148" s="90" t="s">
        <v>218</v>
      </c>
      <c r="E148" s="98"/>
      <c r="F148" s="98" t="s">
        <v>241</v>
      </c>
      <c r="G148" s="98"/>
      <c r="H148" s="98" t="s">
        <v>257</v>
      </c>
    </row>
    <row r="149" spans="2:8" s="20" customFormat="1" hidden="1" x14ac:dyDescent="0.2">
      <c r="B149" s="98" t="str">
        <f>IF(Groepsloting!$C$291=1,Groepsloting!D149,IF(Groepsloting!$C$291=2,IF(ISBLANK(Groepsloting!F149),Groepsloting!D149,Groepsloting!F149),IF(Groepsloting!$C$291=3,IF(ISBLANK(Groepsloting!H149),Groepsloting!D149,Groepsloting!H149),Groepsloting!D149)))</f>
        <v>Kwartfinales</v>
      </c>
      <c r="C149" s="98"/>
      <c r="D149" s="98" t="s">
        <v>14</v>
      </c>
      <c r="E149" s="98"/>
      <c r="F149" s="98" t="s">
        <v>160</v>
      </c>
      <c r="G149" s="98"/>
      <c r="H149" s="98" t="s">
        <v>156</v>
      </c>
    </row>
    <row r="150" spans="2:8" s="20" customFormat="1" hidden="1" x14ac:dyDescent="0.2">
      <c r="B150" s="98" t="str">
        <f>IF(Groepsloting!$C$291=1,Groepsloting!D150,IF(Groepsloting!$C$291=2,IF(ISBLANK(Groepsloting!F150),Groepsloting!D150,Groepsloting!F150),IF(Groepsloting!$C$291=3,IF(ISBLANK(Groepsloting!H150),Groepsloting!D150,Groepsloting!H150),Groepsloting!D150)))</f>
        <v>vul winnaar in KF1</v>
      </c>
      <c r="C150" s="98"/>
      <c r="D150" s="90" t="s">
        <v>219</v>
      </c>
      <c r="E150" s="98"/>
      <c r="F150" s="98" t="s">
        <v>242</v>
      </c>
      <c r="G150" s="98"/>
      <c r="H150" s="98" t="s">
        <v>258</v>
      </c>
    </row>
    <row r="151" spans="2:8" s="20" customFormat="1" hidden="1" x14ac:dyDescent="0.2">
      <c r="B151" s="98" t="str">
        <f>IF(Groepsloting!$C$291=1,Groepsloting!D151,IF(Groepsloting!$C$291=2,IF(ISBLANK(Groepsloting!F151),Groepsloting!D151,Groepsloting!F151),IF(Groepsloting!$C$291=3,IF(ISBLANK(Groepsloting!H151),Groepsloting!D151,Groepsloting!H151),Groepsloting!D151)))</f>
        <v>vul winnaar in KF2</v>
      </c>
      <c r="C151" s="98"/>
      <c r="D151" s="90" t="s">
        <v>220</v>
      </c>
      <c r="E151" s="98"/>
      <c r="F151" s="98" t="s">
        <v>243</v>
      </c>
      <c r="G151" s="98"/>
      <c r="H151" s="98" t="s">
        <v>259</v>
      </c>
    </row>
    <row r="152" spans="2:8" s="20" customFormat="1" hidden="1" x14ac:dyDescent="0.2">
      <c r="B152" s="98" t="str">
        <f>IF(Groepsloting!$C$291=1,Groepsloting!D152,IF(Groepsloting!$C$291=2,IF(ISBLANK(Groepsloting!F152),Groepsloting!D152,Groepsloting!F152),IF(Groepsloting!$C$291=3,IF(ISBLANK(Groepsloting!H152),Groepsloting!D152,Groepsloting!H152),Groepsloting!D152)))</f>
        <v>vul winnaar in KF3</v>
      </c>
      <c r="C152" s="98"/>
      <c r="D152" s="90" t="s">
        <v>221</v>
      </c>
      <c r="E152" s="98"/>
      <c r="F152" s="98" t="s">
        <v>244</v>
      </c>
      <c r="G152" s="98"/>
      <c r="H152" s="98" t="s">
        <v>260</v>
      </c>
    </row>
    <row r="153" spans="2:8" s="20" customFormat="1" hidden="1" x14ac:dyDescent="0.2">
      <c r="B153" s="98" t="str">
        <f>IF(Groepsloting!$C$291=1,Groepsloting!D153,IF(Groepsloting!$C$291=2,IF(ISBLANK(Groepsloting!F153),Groepsloting!D153,Groepsloting!F153),IF(Groepsloting!$C$291=3,IF(ISBLANK(Groepsloting!H153),Groepsloting!D153,Groepsloting!H153),Groepsloting!D153)))</f>
        <v>vul winnaar in KF4</v>
      </c>
      <c r="C153" s="98"/>
      <c r="D153" s="90" t="s">
        <v>222</v>
      </c>
      <c r="E153" s="98"/>
      <c r="F153" s="98" t="s">
        <v>245</v>
      </c>
      <c r="G153" s="98"/>
      <c r="H153" s="98" t="s">
        <v>261</v>
      </c>
    </row>
    <row r="154" spans="2:8" s="20" customFormat="1" hidden="1" x14ac:dyDescent="0.2">
      <c r="B154" s="98" t="str">
        <f>IF(Groepsloting!$C$291=1,Groepsloting!D154,IF(Groepsloting!$C$291=2,IF(ISBLANK(Groepsloting!F154),Groepsloting!D154,Groepsloting!F154),IF(Groepsloting!$C$291=3,IF(ISBLANK(Groepsloting!H154),Groepsloting!D154,Groepsloting!H154),Groepsloting!D154)))</f>
        <v>Halve finales</v>
      </c>
      <c r="C154" s="98"/>
      <c r="D154" s="98" t="s">
        <v>15</v>
      </c>
      <c r="E154" s="98"/>
      <c r="F154" s="98" t="s">
        <v>161</v>
      </c>
      <c r="G154" s="98"/>
      <c r="H154" s="98" t="s">
        <v>157</v>
      </c>
    </row>
    <row r="155" spans="2:8" s="20" customFormat="1" hidden="1" x14ac:dyDescent="0.2">
      <c r="B155" s="98" t="str">
        <f>IF(Groepsloting!$C$291=1,Groepsloting!D155,IF(Groepsloting!$C$291=2,IF(ISBLANK(Groepsloting!F155),Groepsloting!D155,Groepsloting!F155),IF(Groepsloting!$C$291=3,IF(ISBLANK(Groepsloting!H155),Groepsloting!D155,Groepsloting!H155),Groepsloting!D155)))</f>
        <v>vul verliezer in HF1</v>
      </c>
      <c r="C155" s="98"/>
      <c r="D155" s="90" t="s">
        <v>225</v>
      </c>
      <c r="E155" s="98"/>
      <c r="F155" s="98" t="s">
        <v>246</v>
      </c>
      <c r="G155" s="98"/>
      <c r="H155" s="98" t="s">
        <v>262</v>
      </c>
    </row>
    <row r="156" spans="2:8" s="20" customFormat="1" hidden="1" x14ac:dyDescent="0.2">
      <c r="B156" s="98" t="str">
        <f>IF(Groepsloting!$C$291=1,Groepsloting!D156,IF(Groepsloting!$C$291=2,IF(ISBLANK(Groepsloting!F156),Groepsloting!D156,Groepsloting!F156),IF(Groepsloting!$C$291=3,IF(ISBLANK(Groepsloting!H156),Groepsloting!D156,Groepsloting!H156),Groepsloting!D156)))</f>
        <v>vul verliezer in HF2</v>
      </c>
      <c r="C156" s="98"/>
      <c r="D156" s="90" t="s">
        <v>226</v>
      </c>
      <c r="E156" s="98"/>
      <c r="F156" s="98" t="s">
        <v>247</v>
      </c>
      <c r="G156" s="98"/>
      <c r="H156" s="98" t="s">
        <v>263</v>
      </c>
    </row>
    <row r="157" spans="2:8" s="20" customFormat="1" hidden="1" x14ac:dyDescent="0.2">
      <c r="B157" s="98" t="str">
        <f>IF(Groepsloting!$C$291=1,Groepsloting!D157,IF(Groepsloting!$C$291=2,IF(ISBLANK(Groepsloting!F157),Groepsloting!D157,Groepsloting!F157),IF(Groepsloting!$C$291=3,IF(ISBLANK(Groepsloting!H157),Groepsloting!D157,Groepsloting!H157),Groepsloting!D157)))</f>
        <v>3e plaats</v>
      </c>
      <c r="C157" s="98"/>
      <c r="D157" s="98" t="s">
        <v>16</v>
      </c>
      <c r="E157" s="98"/>
      <c r="F157" s="98" t="s">
        <v>162</v>
      </c>
      <c r="G157" s="98"/>
      <c r="H157" s="98" t="s">
        <v>158</v>
      </c>
    </row>
    <row r="158" spans="2:8" s="20" customFormat="1" hidden="1" x14ac:dyDescent="0.2">
      <c r="B158" s="98" t="str">
        <f>IF(Groepsloting!$C$291=1,Groepsloting!D158,IF(Groepsloting!$C$291=2,IF(ISBLANK(Groepsloting!F158),Groepsloting!D158,Groepsloting!F158),IF(Groepsloting!$C$291=3,IF(ISBLANK(Groepsloting!H158),Groepsloting!D158,Groepsloting!H158),Groepsloting!D158)))</f>
        <v>vul winnaar in HF1</v>
      </c>
      <c r="C158" s="98"/>
      <c r="D158" s="90" t="s">
        <v>223</v>
      </c>
      <c r="E158" s="98"/>
      <c r="F158" s="98" t="s">
        <v>248</v>
      </c>
      <c r="G158" s="98"/>
      <c r="H158" s="98" t="s">
        <v>264</v>
      </c>
    </row>
    <row r="159" spans="2:8" s="20" customFormat="1" hidden="1" x14ac:dyDescent="0.2">
      <c r="B159" s="98" t="str">
        <f>IF(Groepsloting!$C$291=1,Groepsloting!D159,IF(Groepsloting!$C$291=2,IF(ISBLANK(Groepsloting!F159),Groepsloting!D159,Groepsloting!F159),IF(Groepsloting!$C$291=3,IF(ISBLANK(Groepsloting!H159),Groepsloting!D159,Groepsloting!H159),Groepsloting!D159)))</f>
        <v>vul winnaar in HF2</v>
      </c>
      <c r="C159" s="98"/>
      <c r="D159" s="90" t="s">
        <v>224</v>
      </c>
      <c r="E159" s="98"/>
      <c r="F159" s="98" t="s">
        <v>249</v>
      </c>
      <c r="G159" s="98"/>
      <c r="H159" s="98" t="s">
        <v>265</v>
      </c>
    </row>
    <row r="160" spans="2:8" s="20" customFormat="1" hidden="1" x14ac:dyDescent="0.2">
      <c r="B160" s="98" t="str">
        <f>IF(Groepsloting!$C$291=1,Groepsloting!D160,IF(Groepsloting!$C$291=2,IF(ISBLANK(Groepsloting!F160),Groepsloting!D160,Groepsloting!F160),IF(Groepsloting!$C$291=3,IF(ISBLANK(Groepsloting!H160),Groepsloting!D160,Groepsloting!H160),Groepsloting!D160)))</f>
        <v>Winnaar van 3e plaats</v>
      </c>
      <c r="C160" s="98"/>
      <c r="D160" s="98" t="s">
        <v>270</v>
      </c>
      <c r="E160" s="98"/>
      <c r="F160" s="98" t="s">
        <v>268</v>
      </c>
      <c r="G160" s="98"/>
      <c r="H160" s="98" t="s">
        <v>269</v>
      </c>
    </row>
    <row r="161" spans="2:8" s="20" customFormat="1" hidden="1" x14ac:dyDescent="0.2">
      <c r="B161" s="98" t="str">
        <f>IF(Groepsloting!$C$291=1,Groepsloting!D161,IF(Groepsloting!$C$291=2,IF(ISBLANK(Groepsloting!F161),Groepsloting!D161,Groepsloting!F161),IF(Groepsloting!$C$291=3,IF(ISBLANK(Groepsloting!H161),Groepsloting!D161,Groepsloting!H161),Groepsloting!D161)))</f>
        <v>Finale</v>
      </c>
      <c r="C161" s="98"/>
      <c r="D161" s="98" t="s">
        <v>17</v>
      </c>
      <c r="E161" s="98"/>
      <c r="F161" s="98" t="s">
        <v>163</v>
      </c>
      <c r="G161" s="98"/>
      <c r="H161" s="98" t="s">
        <v>17</v>
      </c>
    </row>
    <row r="162" spans="2:8" s="20" customFormat="1" hidden="1" x14ac:dyDescent="0.2">
      <c r="B162" s="98" t="str">
        <f>IF(Groepsloting!$C$291=1,Groepsloting!D162,IF(Groepsloting!$C$291=2,IF(ISBLANK(Groepsloting!F162),Groepsloting!D162,Groepsloting!F162),IF(Groepsloting!$C$291=3,IF(ISBLANK(Groepsloting!H162),Groepsloting!D162,Groepsloting!H162),Groepsloting!D162)))</f>
        <v>Wereldkampioen</v>
      </c>
      <c r="C162" s="98"/>
      <c r="D162" s="98" t="s">
        <v>18</v>
      </c>
      <c r="E162" s="98"/>
      <c r="F162" s="98" t="s">
        <v>149</v>
      </c>
      <c r="G162" s="98"/>
      <c r="H162" s="98" t="s">
        <v>150</v>
      </c>
    </row>
    <row r="163" spans="2:8" s="20" customFormat="1" hidden="1" x14ac:dyDescent="0.2">
      <c r="B163" s="98" t="str">
        <f>IF(Groepsloting!$C$291=1,Groepsloting!D163,IF(Groepsloting!$C$291=2,IF(ISBLANK(Groepsloting!F163),Groepsloting!D163,Groepsloting!F163),IF(Groepsloting!$C$291=3,IF(ISBLANK(Groepsloting!H163),Groepsloting!D163,Groepsloting!H163),Groepsloting!D163)))</f>
        <v>Winnaar finale</v>
      </c>
      <c r="C163" s="98"/>
      <c r="D163" s="98" t="s">
        <v>271</v>
      </c>
      <c r="E163" s="98"/>
      <c r="F163" s="98" t="s">
        <v>272</v>
      </c>
      <c r="G163" s="98"/>
      <c r="H163" s="98" t="s">
        <v>273</v>
      </c>
    </row>
    <row r="164" spans="2:8" s="20" customFormat="1" ht="25.5" hidden="1" x14ac:dyDescent="0.2">
      <c r="B164" s="97" t="str">
        <f>IF(Groepsloting!$C$291=1,Groepsloting!D164,IF(Groepsloting!$C$291=2,IF(ISBLANK(Groepsloting!F164),Groepsloting!D164,Groepsloting!F164),IF(Groepsloting!$C$291=3,IF(ISBLANK(Groepsloting!H164),Groepsloting!D164,Groepsloting!H164),Groepsloting!D164)))</f>
        <v>WK 2026 Inschrijfformulier</v>
      </c>
      <c r="C164" s="97"/>
      <c r="D164" s="97" t="s">
        <v>625</v>
      </c>
      <c r="E164" s="97"/>
      <c r="F164" s="97" t="s">
        <v>626</v>
      </c>
      <c r="G164" s="97"/>
      <c r="H164" s="97" t="s">
        <v>627</v>
      </c>
    </row>
    <row r="165" spans="2:8" s="20" customFormat="1" ht="38.25" hidden="1" x14ac:dyDescent="0.2">
      <c r="B165" s="98" t="str">
        <f>IF(Groepsloting!$C$291=1,Groepsloting!D165,IF(Groepsloting!$C$291=2,IF(ISBLANK(Groepsloting!F165),Groepsloting!D165,Groepsloting!F165),IF(Groepsloting!$C$291=3,IF(ISBLANK(Groepsloting!H165),Groepsloting!D165,Groepsloting!H165),Groepsloting!D165)))</f>
        <v>Deze gegevens moeten in ieder geval compleet zijn:</v>
      </c>
      <c r="C165" s="98"/>
      <c r="D165" s="98" t="s">
        <v>45</v>
      </c>
      <c r="E165" s="98"/>
      <c r="F165" s="98" t="s">
        <v>289</v>
      </c>
      <c r="G165" s="98"/>
      <c r="H165" s="98" t="s">
        <v>317</v>
      </c>
    </row>
    <row r="166" spans="2:8" s="20" customFormat="1" ht="25.5" hidden="1" x14ac:dyDescent="0.2">
      <c r="B166" s="98" t="str">
        <f>IF(Groepsloting!$C$291=1,Groepsloting!D166,IF(Groepsloting!$C$291=2,IF(ISBLANK(Groepsloting!F166),Groepsloting!D166,Groepsloting!F166),IF(Groepsloting!$C$291=3,IF(ISBLANK(Groepsloting!H166),Groepsloting!D166,Groepsloting!H166),Groepsloting!D166)))</f>
        <v>• Persoonlijke gegevens met * (zie hieronder)</v>
      </c>
      <c r="C166" s="98"/>
      <c r="D166" s="98" t="s">
        <v>399</v>
      </c>
      <c r="E166" s="98"/>
      <c r="F166" s="98" t="s">
        <v>397</v>
      </c>
      <c r="G166" s="98"/>
      <c r="H166" s="98" t="s">
        <v>398</v>
      </c>
    </row>
    <row r="167" spans="2:8" s="20" customFormat="1" ht="25.5" hidden="1" x14ac:dyDescent="0.2">
      <c r="B167" s="98" t="str">
        <f>IF(Groepsloting!$C$291=1,Groepsloting!D167,IF(Groepsloting!$C$291=2,IF(ISBLANK(Groepsloting!F167),Groepsloting!D167,Groepsloting!F167),IF(Groepsloting!$C$291=3,IF(ISBLANK(Groepsloting!H167),Groepsloting!D167,Groepsloting!H167),Groepsloting!D167)))</f>
        <v>• Uitslagen wedstrijden (invulformulier)</v>
      </c>
      <c r="C167" s="98"/>
      <c r="D167" s="98" t="s">
        <v>290</v>
      </c>
      <c r="E167" s="98"/>
      <c r="F167" s="98" t="s">
        <v>294</v>
      </c>
      <c r="G167" s="98"/>
      <c r="H167" s="98" t="s">
        <v>295</v>
      </c>
    </row>
    <row r="168" spans="2:8" s="20" customFormat="1" ht="25.5" hidden="1" x14ac:dyDescent="0.2">
      <c r="B168" s="98" t="str">
        <f>IF(Groepsloting!$C$291=1,Groepsloting!D168,IF(Groepsloting!$C$291=2,IF(ISBLANK(Groepsloting!F168),Groepsloting!D168,Groepsloting!F168),IF(Groepsloting!$C$291=3,IF(ISBLANK(Groepsloting!H168),Groepsloting!D168,Groepsloting!H168),Groepsloting!D168)))</f>
        <v>• Detailvragen (zie hieronder)</v>
      </c>
      <c r="C168" s="98"/>
      <c r="D168" s="98" t="s">
        <v>291</v>
      </c>
      <c r="E168" s="98"/>
      <c r="F168" s="98" t="s">
        <v>292</v>
      </c>
      <c r="G168" s="98"/>
      <c r="H168" s="98" t="s">
        <v>293</v>
      </c>
    </row>
    <row r="169" spans="2:8" s="20" customFormat="1" ht="25.5" hidden="1" x14ac:dyDescent="0.2">
      <c r="B169" s="97" t="str">
        <f>IF(Groepsloting!$C$291=1,Groepsloting!D169,IF(Groepsloting!$C$291=2,IF(ISBLANK(Groepsloting!F169),Groepsloting!D169,Groepsloting!F169),IF(Groepsloting!$C$291=3,IF(ISBLANK(Groepsloting!H169),Groepsloting!D169,Groepsloting!H169),Groepsloting!D169)))</f>
        <v>Persoonlijke gegevens</v>
      </c>
      <c r="C169" s="97"/>
      <c r="D169" s="97" t="s">
        <v>46</v>
      </c>
      <c r="E169" s="97"/>
      <c r="F169" s="97" t="s">
        <v>170</v>
      </c>
      <c r="G169" s="97"/>
      <c r="H169" s="97" t="s">
        <v>342</v>
      </c>
    </row>
    <row r="170" spans="2:8" s="20" customFormat="1" hidden="1" x14ac:dyDescent="0.2">
      <c r="B170" s="98" t="str">
        <f>IF(Groepsloting!$C$291=1,Groepsloting!D170,IF(Groepsloting!$C$291=2,IF(ISBLANK(Groepsloting!F170),Groepsloting!D170,Groepsloting!F170),IF(Groepsloting!$C$291=3,IF(ISBLANK(Groepsloting!H170),Groepsloting!D170,Groepsloting!H170),Groepsloting!D170)))</f>
        <v xml:space="preserve">Teamnaam*: </v>
      </c>
      <c r="C170" s="98"/>
      <c r="D170" s="98" t="s">
        <v>382</v>
      </c>
      <c r="E170" s="98"/>
      <c r="F170" s="98" t="s">
        <v>393</v>
      </c>
      <c r="G170" s="98"/>
      <c r="H170" s="98" t="s">
        <v>392</v>
      </c>
    </row>
    <row r="171" spans="2:8" s="20" customFormat="1" hidden="1" x14ac:dyDescent="0.2">
      <c r="B171" s="98" t="str">
        <f>IF(Groepsloting!$C$291=1,Groepsloting!D171,IF(Groepsloting!$C$291=2,IF(ISBLANK(Groepsloting!F171),Groepsloting!D171,Groepsloting!F171),IF(Groepsloting!$C$291=3,IF(ISBLANK(Groepsloting!H171),Groepsloting!D171,Groepsloting!H171),Groepsloting!D171)))</f>
        <v>Naam:</v>
      </c>
      <c r="C171" s="98"/>
      <c r="D171" s="98" t="s">
        <v>114</v>
      </c>
      <c r="E171" s="98"/>
      <c r="F171" s="98" t="s">
        <v>165</v>
      </c>
      <c r="G171" s="98"/>
      <c r="H171" s="98" t="s">
        <v>165</v>
      </c>
    </row>
    <row r="172" spans="2:8" s="20" customFormat="1" hidden="1" x14ac:dyDescent="0.2">
      <c r="B172" s="98" t="str">
        <f>IF(Groepsloting!$C$291=1,Groepsloting!D172,IF(Groepsloting!$C$291=2,IF(ISBLANK(Groepsloting!F172),Groepsloting!D172,Groepsloting!F172),IF(Groepsloting!$C$291=3,IF(ISBLANK(Groepsloting!H172),Groepsloting!D172,Groepsloting!H172),Groepsloting!D172)))</f>
        <v xml:space="preserve">Voornaam*: </v>
      </c>
      <c r="C172" s="98"/>
      <c r="D172" s="98" t="s">
        <v>383</v>
      </c>
      <c r="E172" s="98"/>
      <c r="F172" s="98" t="s">
        <v>394</v>
      </c>
      <c r="G172" s="98"/>
      <c r="H172" s="98" t="s">
        <v>391</v>
      </c>
    </row>
    <row r="173" spans="2:8" s="20" customFormat="1" hidden="1" x14ac:dyDescent="0.2">
      <c r="B173" s="98" t="str">
        <f>IF(Groepsloting!$C$291=1,Groepsloting!D173,IF(Groepsloting!$C$291=2,IF(ISBLANK(Groepsloting!F173),Groepsloting!D173,Groepsloting!F173),IF(Groepsloting!$C$291=3,IF(ISBLANK(Groepsloting!H173),Groepsloting!D173,Groepsloting!H173),Groepsloting!D173)))</f>
        <v>Tussenvoegsel*:</v>
      </c>
      <c r="C173" s="98"/>
      <c r="D173" s="98" t="s">
        <v>384</v>
      </c>
      <c r="E173" s="98"/>
      <c r="F173" s="98" t="s">
        <v>396</v>
      </c>
      <c r="G173" s="98"/>
      <c r="H173" s="98" t="s">
        <v>390</v>
      </c>
    </row>
    <row r="174" spans="2:8" s="20" customFormat="1" hidden="1" x14ac:dyDescent="0.2">
      <c r="B174" s="98" t="str">
        <f>IF(Groepsloting!$C$291=1,Groepsloting!D174,IF(Groepsloting!$C$291=2,IF(ISBLANK(Groepsloting!F174),Groepsloting!D174,Groepsloting!F174),IF(Groepsloting!$C$291=3,IF(ISBLANK(Groepsloting!H174),Groepsloting!D174,Groepsloting!H174),Groepsloting!D174)))</f>
        <v>Achternaam*:</v>
      </c>
      <c r="C174" s="98"/>
      <c r="D174" s="98" t="s">
        <v>385</v>
      </c>
      <c r="E174" s="98"/>
      <c r="F174" s="98" t="s">
        <v>395</v>
      </c>
      <c r="G174" s="98"/>
      <c r="H174" s="98" t="s">
        <v>389</v>
      </c>
    </row>
    <row r="175" spans="2:8" s="20" customFormat="1" hidden="1" x14ac:dyDescent="0.2">
      <c r="B175" s="98" t="str">
        <f>IF(Groepsloting!$C$291=1,Groepsloting!D175,IF(Groepsloting!$C$291=2,IF(ISBLANK(Groepsloting!F175),Groepsloting!D175,Groepsloting!F175),IF(Groepsloting!$C$291=3,IF(ISBLANK(Groepsloting!H175),Groepsloting!D175,Groepsloting!H175),Groepsloting!D175)))</f>
        <v>Adres:</v>
      </c>
      <c r="C175" s="98"/>
      <c r="D175" s="98" t="s">
        <v>47</v>
      </c>
      <c r="E175" s="98"/>
      <c r="F175" s="98" t="s">
        <v>166</v>
      </c>
      <c r="G175" s="98"/>
      <c r="H175" s="98" t="s">
        <v>388</v>
      </c>
    </row>
    <row r="176" spans="2:8" s="20" customFormat="1" hidden="1" x14ac:dyDescent="0.2">
      <c r="B176" s="98" t="str">
        <f>IF(Groepsloting!$C$291=1,Groepsloting!D176,IF(Groepsloting!$C$291=2,IF(ISBLANK(Groepsloting!F176),Groepsloting!D176,Groepsloting!F176),IF(Groepsloting!$C$291=3,IF(ISBLANK(Groepsloting!H176),Groepsloting!D176,Groepsloting!H176),Groepsloting!D176)))</f>
        <v>Woonplaats:</v>
      </c>
      <c r="C176" s="98"/>
      <c r="D176" s="98" t="s">
        <v>48</v>
      </c>
      <c r="E176" s="98"/>
      <c r="F176" s="98" t="s">
        <v>167</v>
      </c>
      <c r="G176" s="98"/>
      <c r="H176" s="98" t="s">
        <v>168</v>
      </c>
    </row>
    <row r="177" spans="2:8" s="20" customFormat="1" hidden="1" x14ac:dyDescent="0.2">
      <c r="B177" s="98" t="str">
        <f>IF(Groepsloting!$C$291=1,Groepsloting!D177,IF(Groepsloting!$C$291=2,IF(ISBLANK(Groepsloting!F177),Groepsloting!D177,Groepsloting!F177),IF(Groepsloting!$C$291=3,IF(ISBLANK(Groepsloting!H177),Groepsloting!D177,Groepsloting!H177),Groepsloting!D177)))</f>
        <v>Telefoonnummer:</v>
      </c>
      <c r="C177" s="98"/>
      <c r="D177" s="98" t="s">
        <v>49</v>
      </c>
      <c r="E177" s="98"/>
      <c r="F177" s="98" t="s">
        <v>169</v>
      </c>
      <c r="G177" s="98"/>
      <c r="H177" s="98" t="s">
        <v>343</v>
      </c>
    </row>
    <row r="178" spans="2:8" s="20" customFormat="1" hidden="1" x14ac:dyDescent="0.2">
      <c r="B178" s="98" t="str">
        <f>IF(Groepsloting!$C$291=1,Groepsloting!D178,IF(Groepsloting!$C$291=2,IF(ISBLANK(Groepsloting!F178),Groepsloting!D178,Groepsloting!F178),IF(Groepsloting!$C$291=3,IF(ISBLANK(Groepsloting!H178),Groepsloting!D178,Groepsloting!H178),Groepsloting!D178)))</f>
        <v xml:space="preserve">E-mail*: </v>
      </c>
      <c r="C178" s="98"/>
      <c r="D178" s="98" t="s">
        <v>386</v>
      </c>
      <c r="E178" s="98"/>
      <c r="F178" s="98" t="s">
        <v>387</v>
      </c>
      <c r="G178" s="98"/>
      <c r="H178" s="98" t="s">
        <v>387</v>
      </c>
    </row>
    <row r="179" spans="2:8" s="20" customFormat="1" hidden="1" x14ac:dyDescent="0.2">
      <c r="B179" s="98"/>
      <c r="C179" s="98"/>
      <c r="D179" s="98"/>
      <c r="E179" s="98"/>
      <c r="F179" s="98"/>
      <c r="G179" s="98"/>
      <c r="H179" s="98"/>
    </row>
    <row r="180" spans="2:8" s="20" customFormat="1" ht="25.5" hidden="1" x14ac:dyDescent="0.2">
      <c r="B180" s="97" t="str">
        <f>IF(Groepsloting!$C$291=1,Groepsloting!D180,IF(Groepsloting!$C$291=2,IF(ISBLANK(Groepsloting!F180),Groepsloting!D180,Groepsloting!F180),IF(Groepsloting!$C$291=3,IF(ISBLANK(Groepsloting!H180),Groepsloting!D180,Groepsloting!H180),Groepsloting!D180)))</f>
        <v>WK 2026 Lucky Elftal detailvragen</v>
      </c>
      <c r="C180" s="97"/>
      <c r="D180" s="97" t="s">
        <v>630</v>
      </c>
      <c r="E180" s="97"/>
      <c r="F180" s="97" t="s">
        <v>629</v>
      </c>
      <c r="G180" s="97"/>
      <c r="H180" s="97" t="s">
        <v>628</v>
      </c>
    </row>
    <row r="181" spans="2:8" s="20" customFormat="1" ht="51" hidden="1" x14ac:dyDescent="0.2">
      <c r="B181" s="98" t="str">
        <f>IF(Groepsloting!$C$291=1,Groepsloting!D181,IF(Groepsloting!$C$291=2,IF(ISBLANK(Groepsloting!F181),Groepsloting!D181,Groepsloting!F181),IF(Groepsloting!$C$291=3,IF(ISBLANK(Groepsloting!H181),Groepsloting!D181,Groepsloting!H181),Groepsloting!D181)))</f>
        <v>1. Welke land krijgt de meeste tegendoelpunten in de groepsfase?  (5 punten)</v>
      </c>
      <c r="C181" s="98"/>
      <c r="D181" s="98" t="s">
        <v>227</v>
      </c>
      <c r="E181" s="98"/>
      <c r="F181" s="98" t="s">
        <v>347</v>
      </c>
      <c r="G181" s="98"/>
      <c r="H181" s="98" t="s">
        <v>344</v>
      </c>
    </row>
    <row r="182" spans="2:8" s="20" customFormat="1" ht="51" hidden="1" x14ac:dyDescent="0.2">
      <c r="B182" s="98" t="str">
        <f>IF(Groepsloting!$C$291=1,Groepsloting!D182,IF(Groepsloting!$C$291=2,IF(ISBLANK(Groepsloting!F182),Groepsloting!D182,Groepsloting!F182),IF(Groepsloting!$C$291=3,IF(ISBLANK(Groepsloting!H182),Groepsloting!D182,Groepsloting!H182),Groepsloting!D182)))</f>
        <v>2. Welk land krijgt de minste tegendoelpunten in de groepsfase?  (5 punten)</v>
      </c>
      <c r="C182" s="98"/>
      <c r="D182" s="98" t="s">
        <v>228</v>
      </c>
      <c r="E182" s="98"/>
      <c r="F182" s="98" t="s">
        <v>349</v>
      </c>
      <c r="G182" s="98"/>
      <c r="H182" s="98" t="s">
        <v>345</v>
      </c>
    </row>
    <row r="183" spans="2:8" s="20" customFormat="1" ht="51" hidden="1" x14ac:dyDescent="0.2">
      <c r="B183" s="98" t="str">
        <f>IF(Groepsloting!$C$291=1,Groepsloting!D183,IF(Groepsloting!$C$291=2,IF(ISBLANK(Groepsloting!F183),Groepsloting!D183,Groepsloting!F183),IF(Groepsloting!$C$291=3,IF(ISBLANK(Groepsloting!H183),Groepsloting!D183,Groepsloting!H183),Groepsloting!D183)))</f>
        <v>3. Welk land scoort de meeste doelpunten in de groepsfase?  (5 punten)</v>
      </c>
      <c r="C183" s="98"/>
      <c r="D183" s="98" t="s">
        <v>229</v>
      </c>
      <c r="E183" s="98"/>
      <c r="F183" s="98" t="s">
        <v>348</v>
      </c>
      <c r="G183" s="98"/>
      <c r="H183" s="98" t="s">
        <v>334</v>
      </c>
    </row>
    <row r="184" spans="2:8" s="20" customFormat="1" ht="38.25" hidden="1" x14ac:dyDescent="0.2">
      <c r="B184" s="98" t="str">
        <f>IF(Groepsloting!$C$291=1,Groepsloting!D184,IF(Groepsloting!$C$291=2,IF(ISBLANK(Groepsloting!F184),Groepsloting!D184,Groepsloting!F184),IF(Groepsloting!$C$291=3,IF(ISBLANK(Groepsloting!H184),Groepsloting!D184,Groepsloting!H184),Groepsloting!D184)))</f>
        <v>4. Welk land scoort de minste doelpunten in de groepsfase?  (5 punten)</v>
      </c>
      <c r="C184" s="98"/>
      <c r="D184" s="98" t="s">
        <v>230</v>
      </c>
      <c r="E184" s="98"/>
      <c r="F184" s="98" t="s">
        <v>350</v>
      </c>
      <c r="G184" s="98"/>
      <c r="H184" s="98" t="s">
        <v>335</v>
      </c>
    </row>
    <row r="185" spans="2:8" s="20" customFormat="1" ht="38.25" hidden="1" x14ac:dyDescent="0.2">
      <c r="B185" s="98" t="str">
        <f>IF(Groepsloting!$C$291=1,Groepsloting!D185,IF(Groepsloting!$C$291=2,IF(ISBLANK(Groepsloting!F185),Groepsloting!D185,Groepsloting!F185),IF(Groepsloting!$C$291=3,IF(ISBLANK(Groepsloting!H185),Groepsloting!D185,Groepsloting!H185),Groepsloting!D185)))</f>
        <v>5. Wie wordt topscoorder van het toernooi?  (5 punten)</v>
      </c>
      <c r="C185" s="98"/>
      <c r="D185" s="98" t="s">
        <v>231</v>
      </c>
      <c r="E185" s="98"/>
      <c r="F185" s="98" t="s">
        <v>296</v>
      </c>
      <c r="G185" s="98"/>
      <c r="H185" s="98" t="s">
        <v>336</v>
      </c>
    </row>
    <row r="186" spans="2:8" s="20" customFormat="1" ht="51" hidden="1" x14ac:dyDescent="0.2">
      <c r="B186" s="98" t="str">
        <f>IF(Groepsloting!$C$291=1,Groepsloting!D186,IF(Groepsloting!$C$291=2,IF(ISBLANK(Groepsloting!F186),Groepsloting!D186,Groepsloting!F186),IF(Groepsloting!$C$291=3,IF(ISBLANK(Groepsloting!H186),Groepsloting!D186,Groepsloting!H186),Groepsloting!D186)))</f>
        <v>6. Hoeveel doelpunten worden er in het toernooi gescoord?  (range ±5=5pnt)</v>
      </c>
      <c r="C186" s="98"/>
      <c r="D186" s="98" t="s">
        <v>232</v>
      </c>
      <c r="E186" s="98"/>
      <c r="F186" s="98" t="s">
        <v>298</v>
      </c>
      <c r="G186" s="98"/>
      <c r="H186" s="98" t="s">
        <v>340</v>
      </c>
    </row>
    <row r="187" spans="2:8" s="20" customFormat="1" ht="51" hidden="1" x14ac:dyDescent="0.2">
      <c r="B187" s="98" t="str">
        <f>IF(Groepsloting!$C$291=1,Groepsloting!D187,IF(Groepsloting!$C$291=2,IF(ISBLANK(Groepsloting!F187),Groepsloting!D187,Groepsloting!F187),IF(Groepsloting!$C$291=3,IF(ISBLANK(Groepsloting!H187),Groepsloting!D187,Groepsloting!H187),Groepsloting!D187)))</f>
        <v>7. Hoeveel gele kaarten vallen er in het toernooi?   (range ±5=5pnt)</v>
      </c>
      <c r="C187" s="98"/>
      <c r="D187" s="98" t="s">
        <v>233</v>
      </c>
      <c r="E187" s="98"/>
      <c r="F187" s="98" t="s">
        <v>297</v>
      </c>
      <c r="G187" s="98"/>
      <c r="H187" s="98" t="s">
        <v>346</v>
      </c>
    </row>
    <row r="188" spans="2:8" s="20" customFormat="1" ht="38.25" hidden="1" x14ac:dyDescent="0.2">
      <c r="B188" s="98" t="str">
        <f>IF(Groepsloting!$C$291=1,Groepsloting!D188,IF(Groepsloting!$C$291=2,IF(ISBLANK(Groepsloting!F188),Groepsloting!D188,Groepsloting!F188),IF(Groepsloting!$C$291=3,IF(ISBLANK(Groepsloting!H188),Groepsloting!D188,Groepsloting!H188),Groepsloting!D188)))</f>
        <v>8. Wie scoort het eerste doelpunt voor Nederland?  (5 punten)</v>
      </c>
      <c r="C188" s="98"/>
      <c r="D188" s="98" t="s">
        <v>358</v>
      </c>
      <c r="E188" s="98"/>
      <c r="F188" s="98" t="s">
        <v>359</v>
      </c>
      <c r="G188" s="98"/>
      <c r="H188" s="98" t="s">
        <v>360</v>
      </c>
    </row>
    <row r="189" spans="2:8" s="20" customFormat="1" ht="38.25" hidden="1" x14ac:dyDescent="0.2">
      <c r="B189" s="98" t="str">
        <f>IF(Groepsloting!$C$291=1,Groepsloting!D189,IF(Groepsloting!$C$291=2,IF(ISBLANK(Groepsloting!F189),Groepsloting!D189,Groepsloting!F189),IF(Groepsloting!$C$291=3,IF(ISBLANK(Groepsloting!H189),Groepsloting!D189,Groepsloting!H189),Groepsloting!D189)))</f>
        <v>9. Welke Nederlandse speler krijgt de eerste gele kaart?  (5 punten)</v>
      </c>
      <c r="C189" s="98"/>
      <c r="D189" s="98" t="s">
        <v>361</v>
      </c>
      <c r="E189" s="98"/>
      <c r="F189" s="98" t="s">
        <v>362</v>
      </c>
      <c r="G189" s="98"/>
      <c r="H189" s="98" t="s">
        <v>363</v>
      </c>
    </row>
    <row r="190" spans="2:8" s="20" customFormat="1" ht="38.25" hidden="1" x14ac:dyDescent="0.2">
      <c r="B190" s="98" t="str">
        <f>IF(Groepsloting!$C$291=1,Groepsloting!D190,IF(Groepsloting!$C$291=2,IF(ISBLANK(Groepsloting!F190),Groepsloting!D190,Groepsloting!F190),IF(Groepsloting!$C$291=3,IF(ISBLANK(Groepsloting!H190),Groepsloting!D190,Groepsloting!H190),Groepsloting!D190)))</f>
        <v>10. Hoeveel doelpunten maakt Nederland in totaal?  (5 punten)</v>
      </c>
      <c r="C190" s="98"/>
      <c r="D190" s="98" t="s">
        <v>364</v>
      </c>
      <c r="E190" s="98"/>
      <c r="F190" s="98" t="s">
        <v>365</v>
      </c>
      <c r="G190" s="98"/>
      <c r="H190" s="98" t="s">
        <v>366</v>
      </c>
    </row>
    <row r="191" spans="2:8" s="20" customFormat="1" ht="51" hidden="1" x14ac:dyDescent="0.2">
      <c r="B191" s="98" t="str">
        <f>IF(Groepsloting!$C$291=1,Groepsloting!D191,IF(Groepsloting!$C$291=2,IF(ISBLANK(Groepsloting!F191),Groepsloting!D191,Groepsloting!F191),IF(Groepsloting!$C$291=3,IF(ISBLANK(Groepsloting!H191),Groepsloting!D191,Groepsloting!H191),Groepsloting!D191)))</f>
        <v>11. Wie wordt topscoorder van Nederland?  (5 punten)</v>
      </c>
      <c r="C191" s="98"/>
      <c r="D191" s="98" t="s">
        <v>367</v>
      </c>
      <c r="E191" s="98"/>
      <c r="F191" s="98" t="s">
        <v>368</v>
      </c>
      <c r="G191" s="98"/>
      <c r="H191" s="98" t="s">
        <v>369</v>
      </c>
    </row>
    <row r="192" spans="2:8" s="20" customFormat="1" hidden="1" x14ac:dyDescent="0.2">
      <c r="B192" s="98"/>
      <c r="C192" s="98"/>
      <c r="D192" s="98"/>
      <c r="E192" s="98"/>
      <c r="F192" s="98"/>
      <c r="G192" s="98"/>
      <c r="H192" s="98"/>
    </row>
    <row r="193" spans="2:8" s="20" customFormat="1" ht="25.5" hidden="1" x14ac:dyDescent="0.2">
      <c r="B193" s="97" t="str">
        <f>IF(Groepsloting!$C$291=1,Groepsloting!D193,IF(Groepsloting!$C$291=2,IF(ISBLANK(Groepsloting!F193),Groepsloting!D193,Groepsloting!F193),IF(Groepsloting!$C$291=3,IF(ISBLANK(Groepsloting!H193),Groepsloting!D193,Groepsloting!H193),Groepsloting!D193)))</f>
        <v>WK 2026 Puntentelling</v>
      </c>
      <c r="C193" s="97"/>
      <c r="D193" s="97" t="s">
        <v>631</v>
      </c>
      <c r="E193" s="97"/>
      <c r="F193" s="97" t="s">
        <v>632</v>
      </c>
      <c r="G193" s="97"/>
      <c r="H193" s="97" t="s">
        <v>633</v>
      </c>
    </row>
    <row r="194" spans="2:8" s="20" customFormat="1" ht="51" hidden="1" x14ac:dyDescent="0.2">
      <c r="B194" s="98" t="str">
        <f>IF(Groepsloting!$C$291=1,Groepsloting!D194,IF(Groepsloting!$C$291=2,IF(ISBLANK(Groepsloting!F194),Groepsloting!D194,Groepsloting!F194),IF(Groepsloting!$C$291=3,IF(ISBLANK(Groepsloting!H194),Groepsloting!D194,Groepsloting!H194),Groepsloting!D194)))</f>
        <v>• Het invulblad bepaalt automatisch welke landen doorgaan naar de volgende ronde,</v>
      </c>
      <c r="C194" s="97"/>
      <c r="D194" s="98" t="s">
        <v>277</v>
      </c>
      <c r="E194" s="97"/>
      <c r="F194" s="98" t="s">
        <v>300</v>
      </c>
      <c r="G194" s="98"/>
      <c r="H194" s="98" t="s">
        <v>327</v>
      </c>
    </row>
    <row r="195" spans="2:8" s="20" customFormat="1" ht="63.75" hidden="1" x14ac:dyDescent="0.2">
      <c r="B195" s="98" t="str">
        <f>IF(Groepsloting!$C$291=1,Groepsloting!D195,IF(Groepsloting!$C$291=2,IF(ISBLANK(Groepsloting!F195),Groepsloting!D195,Groepsloting!F195),IF(Groepsloting!$C$291=3,IF(ISBLANK(Groepsloting!H195),Groepsloting!D195,Groepsloting!H195),Groepsloting!D195)))</f>
        <v>behalve bij een gelijke stand van de nummers 1 en 2 in de groepsfase en bij gelijkspel in de 'finales'.</v>
      </c>
      <c r="C195" s="98"/>
      <c r="D195" s="98" t="s">
        <v>280</v>
      </c>
      <c r="E195" s="98"/>
      <c r="F195" s="98" t="s">
        <v>301</v>
      </c>
      <c r="G195" s="98"/>
      <c r="H195" s="98" t="s">
        <v>328</v>
      </c>
    </row>
    <row r="196" spans="2:8" s="20" customFormat="1" ht="51" hidden="1" x14ac:dyDescent="0.2">
      <c r="B196" s="98" t="str">
        <f>IF(Groepsloting!$C$291=1,Groepsloting!D196,IF(Groepsloting!$C$291=2,IF(ISBLANK(Groepsloting!F196),Groepsloting!D196,Groepsloting!F196),IF(Groepsloting!$C$291=3,IF(ISBLANK(Groepsloting!H196),Groepsloting!D196,Groepsloting!H196),Groepsloting!D196)))</f>
        <v>• Het invulblad geeft aan waar je eventueel een winnaar handmatig moet invullen.</v>
      </c>
      <c r="C196" s="98"/>
      <c r="D196" s="98" t="s">
        <v>279</v>
      </c>
      <c r="E196" s="98"/>
      <c r="F196" s="98" t="s">
        <v>302</v>
      </c>
      <c r="G196" s="98"/>
      <c r="H196" s="98" t="s">
        <v>329</v>
      </c>
    </row>
    <row r="197" spans="2:8" s="20" customFormat="1" ht="76.5" hidden="1" x14ac:dyDescent="0.2">
      <c r="B197" s="98" t="str">
        <f>IF(Groepsloting!$C$291=1,Groepsloting!D197,IF(Groepsloting!$C$291=2,IF(ISBLANK(Groepsloting!F197),Groepsloting!D197,Groepsloting!F197),IF(Groepsloting!$C$291=3,IF(ISBLANK(Groepsloting!H197),Groepsloting!D197,Groepsloting!H197),Groepsloting!D197)))</f>
        <v>• Het invulblad heeft selectiemogelijkheden voor uitslagen, toto en landenkeuze. Dit is handig voor mobiel invullen!</v>
      </c>
      <c r="C197" s="98"/>
      <c r="D197" s="98" t="s">
        <v>284</v>
      </c>
      <c r="E197" s="98"/>
      <c r="F197" s="98" t="s">
        <v>303</v>
      </c>
      <c r="G197" s="98"/>
      <c r="H197" s="98" t="s">
        <v>338</v>
      </c>
    </row>
    <row r="198" spans="2:8" s="20" customFormat="1" ht="63.75" hidden="1" x14ac:dyDescent="0.2">
      <c r="B198" s="98" t="str">
        <f>IF(Groepsloting!$C$291=1,Groepsloting!D198,IF(Groepsloting!$C$291=2,IF(ISBLANK(Groepsloting!F198),Groepsloting!D198,Groepsloting!F198),IF(Groepsloting!$C$291=3,IF(ISBLANK(Groepsloting!H198),Groepsloting!D198,Groepsloting!H198),Groepsloting!D198)))</f>
        <v xml:space="preserve">• Vanaf de achtste finales tot en met de finale geldt de uitslag na een eventueel verlengen van de wedstrijd, maar </v>
      </c>
      <c r="C198" s="98"/>
      <c r="D198" s="98" t="s">
        <v>278</v>
      </c>
      <c r="E198" s="98"/>
      <c r="F198" s="98" t="s">
        <v>315</v>
      </c>
      <c r="G198" s="98"/>
      <c r="H198" s="98" t="s">
        <v>326</v>
      </c>
    </row>
    <row r="199" spans="2:8" s="20" customFormat="1" ht="76.5" hidden="1" x14ac:dyDescent="0.2">
      <c r="B199" s="98" t="str">
        <f>IF(Groepsloting!$C$291=1,Groepsloting!D199,IF(Groepsloting!$C$291=2,IF(ISBLANK(Groepsloting!F199),Groepsloting!D199,Groepsloting!F199),IF(Groepsloting!$C$291=3,IF(ISBLANK(Groepsloting!H199),Groepsloting!D199,Groepsloting!H199),Groepsloting!D199)))</f>
        <v>voor strafschoppen. Als je in een 'finale' een gelijkspel voorspelt, vul dan zelf weer de winnaar in voor de volgende 'finale'!</v>
      </c>
      <c r="C199" s="98"/>
      <c r="D199" s="98" t="s">
        <v>281</v>
      </c>
      <c r="E199" s="98"/>
      <c r="F199" s="98" t="s">
        <v>304</v>
      </c>
      <c r="G199" s="98"/>
      <c r="H199" s="98" t="s">
        <v>339</v>
      </c>
    </row>
    <row r="200" spans="2:8" s="20" customFormat="1" ht="63.75" hidden="1" x14ac:dyDescent="0.2">
      <c r="B200" s="98" t="str">
        <f>IF(Groepsloting!$C$291=1,Groepsloting!D200,IF(Groepsloting!$C$291=2,IF(ISBLANK(Groepsloting!F200),Groepsloting!D200,Groepsloting!F200),IF(Groepsloting!$C$291=3,IF(ISBLANK(Groepsloting!H200),Groepsloting!D200,Groepsloting!H200),Groepsloting!D200)))</f>
        <v>• Als je de winkansen wilt spreiden, kan je ook handmatig de finalisten selecteren of een andere toto invullen.</v>
      </c>
      <c r="C200" s="98"/>
      <c r="D200" s="98" t="s">
        <v>285</v>
      </c>
      <c r="E200" s="98"/>
      <c r="F200" s="98" t="s">
        <v>307</v>
      </c>
      <c r="G200" s="98"/>
      <c r="H200" s="98" t="s">
        <v>330</v>
      </c>
    </row>
    <row r="201" spans="2:8" s="20" customFormat="1" ht="38.25" hidden="1" x14ac:dyDescent="0.2">
      <c r="B201" s="98" t="str">
        <f>IF(Groepsloting!$C$291=1,Groepsloting!D201,IF(Groepsloting!$C$291=2,IF(ISBLANK(Groepsloting!F201),Groepsloting!D201,Groepsloting!F201),IF(Groepsloting!$C$291=3,IF(ISBLANK(Groepsloting!H201),Groepsloting!D201,Groepsloting!H201),Groepsloting!D201)))</f>
        <v>Juiste aantal doelpunten thuis spelend team (juiste toto)</v>
      </c>
      <c r="C201" s="98"/>
      <c r="D201" s="98" t="s">
        <v>24</v>
      </c>
      <c r="E201" s="98"/>
      <c r="F201" s="98" t="s">
        <v>305</v>
      </c>
      <c r="G201" s="98"/>
      <c r="H201" s="98" t="s">
        <v>325</v>
      </c>
    </row>
    <row r="202" spans="2:8" s="20" customFormat="1" ht="38.25" hidden="1" x14ac:dyDescent="0.2">
      <c r="B202" s="98" t="str">
        <f>IF(Groepsloting!$C$291=1,Groepsloting!D202,IF(Groepsloting!$C$291=2,IF(ISBLANK(Groepsloting!F202),Groepsloting!D202,Groepsloting!F202),IF(Groepsloting!$C$291=3,IF(ISBLANK(Groepsloting!H202),Groepsloting!D202,Groepsloting!H202),Groepsloting!D202)))</f>
        <v>Juiste aantal doelpunten thuis spelend team (onjuiste toto)</v>
      </c>
      <c r="C202" s="98"/>
      <c r="D202" s="98" t="s">
        <v>25</v>
      </c>
      <c r="E202" s="98"/>
      <c r="F202" s="98" t="s">
        <v>306</v>
      </c>
      <c r="G202" s="98"/>
      <c r="H202" s="98" t="s">
        <v>323</v>
      </c>
    </row>
    <row r="203" spans="2:8" s="20" customFormat="1" ht="38.25" hidden="1" x14ac:dyDescent="0.2">
      <c r="B203" s="98" t="str">
        <f>IF(Groepsloting!$C$291=1,Groepsloting!D203,IF(Groepsloting!$C$291=2,IF(ISBLANK(Groepsloting!F203),Groepsloting!D203,Groepsloting!F203),IF(Groepsloting!$C$291=3,IF(ISBLANK(Groepsloting!H203),Groepsloting!D203,Groepsloting!H203),Groepsloting!D203)))</f>
        <v>Juiste aantal doelpunten uit spelend team (juiste toto)</v>
      </c>
      <c r="C203" s="98"/>
      <c r="D203" s="98" t="s">
        <v>26</v>
      </c>
      <c r="E203" s="98"/>
      <c r="F203" s="98" t="s">
        <v>308</v>
      </c>
      <c r="G203" s="98"/>
      <c r="H203" s="98" t="s">
        <v>322</v>
      </c>
    </row>
    <row r="204" spans="2:8" s="20" customFormat="1" ht="38.25" hidden="1" x14ac:dyDescent="0.2">
      <c r="B204" s="98" t="str">
        <f>IF(Groepsloting!$C$291=1,Groepsloting!D204,IF(Groepsloting!$C$291=2,IF(ISBLANK(Groepsloting!F204),Groepsloting!D204,Groepsloting!F204),IF(Groepsloting!$C$291=3,IF(ISBLANK(Groepsloting!H204),Groepsloting!D204,Groepsloting!H204),Groepsloting!D204)))</f>
        <v>Juiste aantal doelpunten uit spelend team (onjuiste toto)</v>
      </c>
      <c r="C204" s="98"/>
      <c r="D204" s="98" t="s">
        <v>27</v>
      </c>
      <c r="E204" s="98"/>
      <c r="F204" s="98" t="s">
        <v>309</v>
      </c>
      <c r="G204" s="98"/>
      <c r="H204" s="98" t="s">
        <v>324</v>
      </c>
    </row>
    <row r="205" spans="2:8" s="20" customFormat="1" ht="38.25" hidden="1" x14ac:dyDescent="0.2">
      <c r="B205" s="98" t="str">
        <f>IF(Groepsloting!$C$291=1,Groepsloting!D205,IF(Groepsloting!$C$291=2,IF(ISBLANK(Groepsloting!F205),Groepsloting!D205,Groepsloting!F205),IF(Groepsloting!$C$291=3,IF(ISBLANK(Groepsloting!H205),Groepsloting!D205,Groepsloting!H205),Groepsloting!D205)))</f>
        <v>Juiste "toto"-uitslag</v>
      </c>
      <c r="C205" s="98"/>
      <c r="D205" s="98" t="s">
        <v>28</v>
      </c>
      <c r="E205" s="98"/>
      <c r="F205" s="98" t="s">
        <v>310</v>
      </c>
      <c r="G205" s="98"/>
      <c r="H205" s="98" t="s">
        <v>341</v>
      </c>
    </row>
    <row r="206" spans="2:8" s="20" customFormat="1" ht="25.5" hidden="1" x14ac:dyDescent="0.2">
      <c r="B206" s="98" t="str">
        <f>IF(Groepsloting!$C$291=1,Groepsloting!D206,IF(Groepsloting!$C$291=2,IF(ISBLANK(Groepsloting!F206),Groepsloting!D206,Groepsloting!F206),IF(Groepsloting!$C$291=3,IF(ISBLANK(Groepsloting!H206),Groepsloting!D206,Groepsloting!H206),Groepsloting!D206)))</f>
        <v>Team op juiste plaats in zestiende finale</v>
      </c>
      <c r="C206" s="98"/>
      <c r="D206" s="98" t="s">
        <v>745</v>
      </c>
      <c r="E206" s="98"/>
      <c r="F206" s="98" t="s">
        <v>748</v>
      </c>
      <c r="G206" s="98"/>
      <c r="H206" s="98" t="s">
        <v>747</v>
      </c>
    </row>
    <row r="207" spans="2:8" s="20" customFormat="1" ht="25.5" hidden="1" x14ac:dyDescent="0.2">
      <c r="B207" s="98" t="str">
        <f>IF(Groepsloting!$C$291=1,Groepsloting!D207,IF(Groepsloting!$C$291=2,IF(ISBLANK(Groepsloting!F207),Groepsloting!D207,Groepsloting!F207),IF(Groepsloting!$C$291=3,IF(ISBLANK(Groepsloting!H207),Groepsloting!D207,Groepsloting!H207),Groepsloting!D207)))</f>
        <v>Team op onjuiste plaats in zestiende finale</v>
      </c>
      <c r="C207" s="98"/>
      <c r="D207" s="98" t="s">
        <v>746</v>
      </c>
      <c r="E207" s="98"/>
      <c r="F207" s="98" t="s">
        <v>751</v>
      </c>
      <c r="G207" s="98"/>
      <c r="H207" s="98" t="s">
        <v>749</v>
      </c>
    </row>
    <row r="208" spans="2:8" s="20" customFormat="1" ht="38.25" hidden="1" x14ac:dyDescent="0.2">
      <c r="B208" s="98" t="str">
        <f>IF(Groepsloting!$C$291=1,Groepsloting!D208,IF(Groepsloting!$C$291=2,IF(ISBLANK(Groepsloting!F208),Groepsloting!D208,Groepsloting!F208),IF(Groepsloting!$C$291=3,IF(ISBLANK(Groepsloting!H208),Groepsloting!D208,Groepsloting!H208),Groepsloting!D208)))</f>
        <v>Juiste team in achtste finale, op welke plaats dan ook</v>
      </c>
      <c r="C208" s="98"/>
      <c r="D208" s="98" t="s">
        <v>744</v>
      </c>
      <c r="E208" s="98"/>
      <c r="F208" s="98" t="s">
        <v>743</v>
      </c>
      <c r="G208" s="98"/>
      <c r="H208" s="98" t="s">
        <v>750</v>
      </c>
    </row>
    <row r="209" spans="2:8" s="20" customFormat="1" ht="38.25" hidden="1" x14ac:dyDescent="0.2">
      <c r="B209" s="98" t="str">
        <f>IF(Groepsloting!$C$291=1,Groepsloting!D209,IF(Groepsloting!$C$291=2,IF(ISBLANK(Groepsloting!F209),Groepsloting!D209,Groepsloting!F209),IF(Groepsloting!$C$291=3,IF(ISBLANK(Groepsloting!H209),Groepsloting!D209,Groepsloting!H209),Groepsloting!D209)))</f>
        <v>Juiste team in kwartfinale, op welke plaats dan ook</v>
      </c>
      <c r="C209" s="98"/>
      <c r="D209" s="98" t="s">
        <v>29</v>
      </c>
      <c r="E209" s="98"/>
      <c r="F209" s="98" t="s">
        <v>311</v>
      </c>
      <c r="G209" s="98"/>
      <c r="H209" s="98" t="s">
        <v>321</v>
      </c>
    </row>
    <row r="210" spans="2:8" s="20" customFormat="1" ht="38.25" hidden="1" x14ac:dyDescent="0.2">
      <c r="B210" s="98" t="str">
        <f>IF(Groepsloting!$C$291=1,Groepsloting!D210,IF(Groepsloting!$C$291=2,IF(ISBLANK(Groepsloting!F210),Groepsloting!D210,Groepsloting!F210),IF(Groepsloting!$C$291=3,IF(ISBLANK(Groepsloting!H210),Groepsloting!D210,Groepsloting!H210),Groepsloting!D210)))</f>
        <v>Juiste team in halve finale, op welke plaats dan ook</v>
      </c>
      <c r="C210" s="98"/>
      <c r="D210" s="98" t="s">
        <v>30</v>
      </c>
      <c r="E210" s="98"/>
      <c r="F210" s="98" t="s">
        <v>313</v>
      </c>
      <c r="G210" s="98"/>
      <c r="H210" s="98" t="s">
        <v>320</v>
      </c>
    </row>
    <row r="211" spans="2:8" s="20" customFormat="1" ht="25.5" hidden="1" x14ac:dyDescent="0.2">
      <c r="B211" s="98" t="str">
        <f>IF(Groepsloting!$C$291=1,Groepsloting!D211,IF(Groepsloting!$C$291=2,IF(ISBLANK(Groepsloting!F211),Groepsloting!D211,Groepsloting!F211),IF(Groepsloting!$C$291=3,IF(ISBLANK(Groepsloting!H211),Groepsloting!D211,Groepsloting!H211),Groepsloting!D211)))</f>
        <v>Winnaar troostfinale</v>
      </c>
      <c r="C211" s="98"/>
      <c r="D211" s="98" t="s">
        <v>31</v>
      </c>
      <c r="E211" s="98"/>
      <c r="F211" s="98" t="s">
        <v>312</v>
      </c>
      <c r="G211" s="98"/>
      <c r="H211" s="98" t="s">
        <v>319</v>
      </c>
    </row>
    <row r="212" spans="2:8" s="20" customFormat="1" ht="25.5" hidden="1" x14ac:dyDescent="0.2">
      <c r="B212" s="98" t="str">
        <f>IF(Groepsloting!$C$291=1,Groepsloting!D212,IF(Groepsloting!$C$291=2,IF(ISBLANK(Groepsloting!F212),Groepsloting!D212,Groepsloting!F212),IF(Groepsloting!$C$291=3,IF(ISBLANK(Groepsloting!H212),Groepsloting!D212,Groepsloting!H212),Groepsloting!D212)))</f>
        <v>Juiste team in finale, op welke plaats dan ook</v>
      </c>
      <c r="C212" s="98"/>
      <c r="D212" s="98" t="s">
        <v>32</v>
      </c>
      <c r="E212" s="98"/>
      <c r="F212" s="98" t="s">
        <v>314</v>
      </c>
      <c r="G212" s="98"/>
      <c r="H212" s="98" t="s">
        <v>318</v>
      </c>
    </row>
    <row r="213" spans="2:8" s="20" customFormat="1" hidden="1" x14ac:dyDescent="0.2">
      <c r="B213" s="98" t="str">
        <f>IF(Groepsloting!$C$291=1,Groepsloting!D213,IF(Groepsloting!$C$291=2,IF(ISBLANK(Groepsloting!F213),Groepsloting!D213,Groepsloting!F213),IF(Groepsloting!$C$291=3,IF(ISBLANK(Groepsloting!H213),Groepsloting!D213,Groepsloting!H213),Groepsloting!D213)))</f>
        <v>Wereldkampioen</v>
      </c>
      <c r="C213" s="98"/>
      <c r="D213" s="98" t="s">
        <v>18</v>
      </c>
      <c r="E213" s="98"/>
      <c r="F213" s="98" t="s">
        <v>149</v>
      </c>
      <c r="G213" s="98"/>
      <c r="H213" s="98" t="s">
        <v>150</v>
      </c>
    </row>
    <row r="214" spans="2:8" s="20" customFormat="1" hidden="1" x14ac:dyDescent="0.2">
      <c r="B214" s="98" t="str">
        <f>IF(Groepsloting!$C$291=1,Groepsloting!D214,IF(Groepsloting!$C$291=2,IF(ISBLANK(Groepsloting!F214),Groepsloting!D214,Groepsloting!F214),IF(Groepsloting!$C$291=3,IF(ISBLANK(Groepsloting!H214),Groepsloting!D214,Groepsloting!H214),Groepsloting!D214)))</f>
        <v>Inleg per team</v>
      </c>
      <c r="C214" s="98"/>
      <c r="D214" s="98" t="s">
        <v>51</v>
      </c>
      <c r="E214" s="98"/>
      <c r="F214" s="98" t="s">
        <v>183</v>
      </c>
      <c r="G214" s="98"/>
      <c r="H214" s="98" t="s">
        <v>184</v>
      </c>
    </row>
    <row r="215" spans="2:8" s="20" customFormat="1" hidden="1" x14ac:dyDescent="0.2">
      <c r="B215" s="98"/>
      <c r="C215" s="98"/>
      <c r="D215" s="98"/>
      <c r="E215" s="98"/>
      <c r="F215" s="98"/>
      <c r="G215" s="98"/>
      <c r="H215" s="98"/>
    </row>
    <row r="216" spans="2:8" s="20" customFormat="1" hidden="1" x14ac:dyDescent="0.2">
      <c r="B216" s="97" t="str">
        <f>IF(Groepsloting!$C$291=1,Groepsloting!D216,IF(Groepsloting!$C$291=2,IF(ISBLANK(Groepsloting!F216),Groepsloting!D216,Groepsloting!F216),IF(Groepsloting!$C$291=3,IF(ISBLANK(Groepsloting!H216),Groepsloting!D216,Groepsloting!H216),Groepsloting!D216)))</f>
        <v>WK 2026 Prijzen</v>
      </c>
      <c r="C216" s="97"/>
      <c r="D216" s="97" t="s">
        <v>634</v>
      </c>
      <c r="E216" s="97"/>
      <c r="F216" s="97" t="s">
        <v>635</v>
      </c>
      <c r="G216" s="97"/>
      <c r="H216" s="97" t="s">
        <v>636</v>
      </c>
    </row>
    <row r="217" spans="2:8" s="20" customFormat="1" hidden="1" x14ac:dyDescent="0.2">
      <c r="B217" s="98" t="str">
        <f>IF(Groepsloting!$C$291=1,Groepsloting!D217,IF(Groepsloting!$C$291=2,IF(ISBLANK(Groepsloting!F217),Groepsloting!D217,Groepsloting!F217),IF(Groepsloting!$C$291=3,IF(ISBLANK(Groepsloting!H217),Groepsloting!D217,Groepsloting!H217),Groepsloting!D217)))</f>
        <v>1e prijs</v>
      </c>
      <c r="C217" s="98"/>
      <c r="D217" s="98" t="s">
        <v>378</v>
      </c>
      <c r="E217" s="98"/>
      <c r="F217" s="98" t="s">
        <v>379</v>
      </c>
      <c r="G217" s="98"/>
      <c r="H217" s="98" t="s">
        <v>380</v>
      </c>
    </row>
    <row r="218" spans="2:8" s="20" customFormat="1" hidden="1" x14ac:dyDescent="0.2">
      <c r="B218" s="98" t="str">
        <f>IF(Groepsloting!$C$291=1,Groepsloting!D218,IF(Groepsloting!$C$291=2,IF(ISBLANK(Groepsloting!F218),Groepsloting!D218,Groepsloting!F218),IF(Groepsloting!$C$291=3,IF(ISBLANK(Groepsloting!H218),Groepsloting!D218,Groepsloting!H218),Groepsloting!D218)))</f>
        <v>2e prijs</v>
      </c>
      <c r="C218" s="98"/>
      <c r="D218" s="98" t="s">
        <v>52</v>
      </c>
      <c r="E218" s="98"/>
      <c r="F218" s="98" t="s">
        <v>175</v>
      </c>
      <c r="G218" s="98"/>
      <c r="H218" s="98" t="s">
        <v>174</v>
      </c>
    </row>
    <row r="219" spans="2:8" s="20" customFormat="1" hidden="1" x14ac:dyDescent="0.2">
      <c r="B219" s="98" t="str">
        <f>IF(Groepsloting!$C$291=1,Groepsloting!D219,IF(Groepsloting!$C$291=2,IF(ISBLANK(Groepsloting!F219),Groepsloting!D219,Groepsloting!F219),IF(Groepsloting!$C$291=3,IF(ISBLANK(Groepsloting!H219),Groepsloting!D219,Groepsloting!H219),Groepsloting!D219)))</f>
        <v>3e prijs</v>
      </c>
      <c r="C219" s="98"/>
      <c r="D219" s="98" t="s">
        <v>53</v>
      </c>
      <c r="E219" s="98"/>
      <c r="F219" s="98" t="s">
        <v>177</v>
      </c>
      <c r="G219" s="98"/>
      <c r="H219" s="98" t="s">
        <v>173</v>
      </c>
    </row>
    <row r="220" spans="2:8" s="20" customFormat="1" hidden="1" x14ac:dyDescent="0.2">
      <c r="B220" s="98" t="str">
        <f>IF(Groepsloting!$C$291=1,Groepsloting!D220,IF(Groepsloting!$C$291=2,IF(ISBLANK(Groepsloting!F220),Groepsloting!D220,Groepsloting!F220),IF(Groepsloting!$C$291=3,IF(ISBLANK(Groepsloting!H220),Groepsloting!D220,Groepsloting!H220),Groepsloting!D220)))</f>
        <v>13e prijs</v>
      </c>
      <c r="C220" s="98"/>
      <c r="D220" s="98" t="s">
        <v>55</v>
      </c>
      <c r="E220" s="98"/>
      <c r="F220" s="98" t="s">
        <v>176</v>
      </c>
      <c r="G220" s="98"/>
      <c r="H220" s="98" t="s">
        <v>172</v>
      </c>
    </row>
    <row r="221" spans="2:8" s="20" customFormat="1" hidden="1" x14ac:dyDescent="0.2">
      <c r="B221" s="98" t="str">
        <f>IF(Groepsloting!$C$291=1,Groepsloting!D221,IF(Groepsloting!$C$291=2,IF(ISBLANK(Groepsloting!F221),Groepsloting!D221,Groepsloting!F221),IF(Groepsloting!$C$291=3,IF(ISBLANK(Groepsloting!H221),Groepsloting!D221,Groepsloting!H221),Groepsloting!D221)))</f>
        <v>23e prijs</v>
      </c>
      <c r="C221" s="98"/>
      <c r="D221" s="98" t="s">
        <v>56</v>
      </c>
      <c r="E221" s="98"/>
      <c r="F221" s="98" t="s">
        <v>178</v>
      </c>
      <c r="G221" s="98"/>
      <c r="H221" s="98" t="s">
        <v>171</v>
      </c>
    </row>
    <row r="222" spans="2:8" s="20" customFormat="1" hidden="1" x14ac:dyDescent="0.2">
      <c r="B222" s="98" t="str">
        <f>IF(Groepsloting!$C$291=1,Groepsloting!D222,IF(Groepsloting!$C$291=2,IF(ISBLANK(Groepsloting!F222),Groepsloting!D222,Groepsloting!F222),IF(Groepsloting!$C$291=3,IF(ISBLANK(Groepsloting!H222),Groepsloting!D222,Groepsloting!H222),Groepsloting!D222)))</f>
        <v>33e prijs</v>
      </c>
      <c r="C222" s="98"/>
      <c r="D222" s="98" t="s">
        <v>186</v>
      </c>
      <c r="E222" s="98"/>
      <c r="F222" s="98" t="s">
        <v>189</v>
      </c>
      <c r="G222" s="98"/>
      <c r="H222" s="98" t="s">
        <v>180</v>
      </c>
    </row>
    <row r="223" spans="2:8" s="20" customFormat="1" hidden="1" x14ac:dyDescent="0.2">
      <c r="B223" s="98" t="str">
        <f>IF(Groepsloting!$C$291=1,Groepsloting!D223,IF(Groepsloting!$C$291=2,IF(ISBLANK(Groepsloting!F223),Groepsloting!D223,Groepsloting!F223),IF(Groepsloting!$C$291=3,IF(ISBLANK(Groepsloting!H223),Groepsloting!D223,Groepsloting!H223),Groepsloting!D223)))</f>
        <v>43e prijs</v>
      </c>
      <c r="C223" s="98"/>
      <c r="D223" s="98" t="s">
        <v>187</v>
      </c>
      <c r="E223" s="98"/>
      <c r="F223" s="98" t="s">
        <v>190</v>
      </c>
      <c r="G223" s="98"/>
      <c r="H223" s="98" t="s">
        <v>181</v>
      </c>
    </row>
    <row r="224" spans="2:8" s="20" customFormat="1" hidden="1" x14ac:dyDescent="0.2">
      <c r="B224" s="98" t="str">
        <f>IF(Groepsloting!$C$291=1,Groepsloting!D224,IF(Groepsloting!$C$291=2,IF(ISBLANK(Groepsloting!F224),Groepsloting!D224,Groepsloting!F224),IF(Groepsloting!$C$291=3,IF(ISBLANK(Groepsloting!H224),Groepsloting!D224,Groepsloting!H224),Groepsloting!D224)))</f>
        <v>53e prijs</v>
      </c>
      <c r="C224" s="98"/>
      <c r="D224" s="98" t="s">
        <v>188</v>
      </c>
      <c r="E224" s="98"/>
      <c r="F224" s="98" t="s">
        <v>191</v>
      </c>
      <c r="G224" s="98"/>
      <c r="H224" s="98" t="s">
        <v>181</v>
      </c>
    </row>
    <row r="225" spans="2:8" s="20" customFormat="1" hidden="1" x14ac:dyDescent="0.2">
      <c r="B225" s="98" t="str">
        <f>IF(Groepsloting!$C$291=1,Groepsloting!D225,IF(Groepsloting!$C$291=2,IF(ISBLANK(Groepsloting!F225),Groepsloting!D225,Groepsloting!F225),IF(Groepsloting!$C$291=3,IF(ISBLANK(Groepsloting!H225),Groepsloting!D225,Groepsloting!H225),Groepsloting!D225)))</f>
        <v>Troostprijs</v>
      </c>
      <c r="C225" s="98"/>
      <c r="D225" s="98" t="s">
        <v>54</v>
      </c>
      <c r="E225" s="98"/>
      <c r="F225" s="98" t="s">
        <v>182</v>
      </c>
      <c r="G225" s="98"/>
      <c r="H225" s="98" t="s">
        <v>179</v>
      </c>
    </row>
    <row r="226" spans="2:8" s="20" customFormat="1" hidden="1" x14ac:dyDescent="0.2">
      <c r="B226" s="98" t="str">
        <f>IF(Groepsloting!$C$291=1,Groepsloting!D226,IF(Groepsloting!$C$291=2,IF(ISBLANK(Groepsloting!F226),Groepsloting!D226,Groepsloting!F226),IF(Groepsloting!$C$291=3,IF(ISBLANK(Groepsloting!H226),Groepsloting!D226,Groepsloting!H226),Groepsloting!D226)))</f>
        <v>Zandloper</v>
      </c>
      <c r="C226" s="98"/>
      <c r="D226" s="98" t="s">
        <v>371</v>
      </c>
      <c r="E226" s="98"/>
      <c r="F226" s="98" t="s">
        <v>372</v>
      </c>
      <c r="G226" s="98"/>
      <c r="H226" s="98" t="s">
        <v>370</v>
      </c>
    </row>
    <row r="227" spans="2:8" s="20" customFormat="1" ht="25.5" hidden="1" x14ac:dyDescent="0.2">
      <c r="B227" s="98" t="str">
        <f>IF(Groepsloting!$C$291=1,Groepsloting!D227,IF(Groepsloting!$C$291=2,IF(ISBLANK(Groepsloting!F227),Groepsloting!D227,Groepsloting!F227),IF(Groepsloting!$C$291=3,IF(ISBLANK(Groepsloting!H227),Groepsloting!D227,Groepsloting!H227),Groepsloting!D227)))</f>
        <v>Bij gelijke stand worden prijzen gedeeld</v>
      </c>
      <c r="C227" s="98"/>
      <c r="D227" s="98" t="s">
        <v>94</v>
      </c>
      <c r="E227" s="98"/>
      <c r="F227" s="98" t="s">
        <v>299</v>
      </c>
      <c r="G227" s="98"/>
      <c r="H227" s="98" t="s">
        <v>331</v>
      </c>
    </row>
    <row r="228" spans="2:8" s="20" customFormat="1" ht="38.25" hidden="1" x14ac:dyDescent="0.2">
      <c r="B228" s="98" t="str">
        <f>IF(Groepsloting!$C$291=1,Groepsloting!D228,IF(Groepsloting!$C$291=2,IF(ISBLANK(Groepsloting!F228),Groepsloting!D228,Groepsloting!F228),IF(Groepsloting!$C$291=3,IF(ISBLANK(Groepsloting!H228),Groepsloting!D228,Groepsloting!H228),Groepsloting!D228)))</f>
        <v xml:space="preserve">Als alles is ingevuld, sla het bestand op met de bestandsnaam: </v>
      </c>
      <c r="C228" s="98"/>
      <c r="D228" s="98" t="s">
        <v>164</v>
      </c>
      <c r="E228" s="98"/>
      <c r="F228" s="98" t="s">
        <v>316</v>
      </c>
      <c r="G228" s="98"/>
      <c r="H228" s="98" t="s">
        <v>332</v>
      </c>
    </row>
    <row r="229" spans="2:8" s="20" customFormat="1" hidden="1" x14ac:dyDescent="0.2">
      <c r="B229" s="98" t="str">
        <f>IF(Groepsloting!$C$291=1,Groepsloting!D229,IF(Groepsloting!$C$291=2,IF(ISBLANK(Groepsloting!F229),Groepsloting!D229,Groepsloting!F229),IF(Groepsloting!$C$291=3,IF(ISBLANK(Groepsloting!H229),Groepsloting!D229,Groepsloting!H229),Groepsloting!D229)))</f>
        <v>Teamnaam</v>
      </c>
      <c r="C229" s="98"/>
      <c r="D229" s="98" t="s">
        <v>267</v>
      </c>
      <c r="E229" s="98"/>
      <c r="F229" s="98" t="s">
        <v>266</v>
      </c>
      <c r="G229" s="98"/>
      <c r="H229" s="98" t="s">
        <v>337</v>
      </c>
    </row>
    <row r="230" spans="2:8" s="20" customFormat="1" hidden="1" x14ac:dyDescent="0.2">
      <c r="B230" s="98" t="str">
        <f>IF(Groepsloting!$C$291=1,Groepsloting!D230,IF(Groepsloting!$C$291=2,IF(ISBLANK(Groepsloting!F230),Groepsloting!D230,Groepsloting!F230),IF(Groepsloting!$C$291=3,IF(ISBLANK(Groepsloting!H230),Groepsloting!D230,Groepsloting!H230),Groepsloting!D230)))</f>
        <v xml:space="preserve">.xlsx </v>
      </c>
      <c r="C230" s="90"/>
      <c r="D230" s="99" t="s">
        <v>282</v>
      </c>
      <c r="E230" s="90"/>
      <c r="F230" s="90" t="s">
        <v>282</v>
      </c>
      <c r="G230" s="90"/>
      <c r="H230" s="90" t="s">
        <v>287</v>
      </c>
    </row>
    <row r="231" spans="2:8" s="20" customFormat="1" hidden="1" x14ac:dyDescent="0.2">
      <c r="B231" s="98" t="str">
        <f>IF(Groepsloting!$C$291=1,Groepsloting!D231,IF(Groepsloting!$C$291=2,IF(ISBLANK(Groepsloting!F231),Groepsloting!D231,Groepsloting!F231),IF(Groepsloting!$C$291=3,IF(ISBLANK(Groepsloting!H231),Groepsloting!D231,Groepsloting!H231),Groepsloting!D231)))</f>
        <v>en stuur deze dan naar:</v>
      </c>
      <c r="C231" s="90"/>
      <c r="D231" s="99" t="s">
        <v>283</v>
      </c>
      <c r="E231" s="90"/>
      <c r="F231" s="90" t="s">
        <v>286</v>
      </c>
      <c r="G231" s="90"/>
      <c r="H231" s="90" t="s">
        <v>288</v>
      </c>
    </row>
    <row r="232" spans="2:8" s="20" customFormat="1" ht="63.75" hidden="1" x14ac:dyDescent="0.2">
      <c r="B232" s="98" t="str">
        <f>IF(Groepsloting!$C$291=1,Groepsloting!D232,IF(Groepsloting!$C$291=2,IF(ISBLANK(Groepsloting!F232),Groepsloting!D232,Groepsloting!F232),IF(Groepsloting!$C$291=3,IF(ISBLANK(Groepsloting!H232),Groepsloting!D232,Groepsloting!H232),Groepsloting!D232)))</f>
        <v>Lever het formulier in vóór donderdag 11 juni 2026 20:00 uur bij Bas of Bastiaan, anders geen deelname.</v>
      </c>
      <c r="C232" s="90"/>
      <c r="D232" s="98" t="s">
        <v>677</v>
      </c>
      <c r="E232" s="90"/>
      <c r="F232" s="98" t="s">
        <v>678</v>
      </c>
      <c r="G232" s="90"/>
      <c r="H232" s="98" t="s">
        <v>676</v>
      </c>
    </row>
    <row r="233" spans="2:8" s="20" customFormat="1" hidden="1" x14ac:dyDescent="0.2">
      <c r="B233" s="98"/>
      <c r="C233" s="90"/>
      <c r="D233" s="98"/>
      <c r="E233" s="98"/>
      <c r="F233" s="98"/>
      <c r="G233" s="98"/>
      <c r="H233" s="98"/>
    </row>
    <row r="234" spans="2:8" s="20" customFormat="1" hidden="1" x14ac:dyDescent="0.2">
      <c r="B234" s="98"/>
      <c r="C234" s="90"/>
      <c r="D234" s="98"/>
      <c r="E234" s="98"/>
      <c r="F234" s="98"/>
      <c r="G234" s="98"/>
      <c r="H234" s="98"/>
    </row>
    <row r="235" spans="2:8" s="20" customFormat="1" hidden="1" x14ac:dyDescent="0.2">
      <c r="B235" s="98"/>
      <c r="C235" s="90"/>
      <c r="D235" s="98"/>
      <c r="E235" s="98"/>
      <c r="F235" s="98"/>
      <c r="G235" s="98"/>
      <c r="H235" s="98"/>
    </row>
    <row r="236" spans="2:8" s="20" customFormat="1" hidden="1" x14ac:dyDescent="0.2">
      <c r="B236" s="98"/>
      <c r="C236" s="90"/>
      <c r="D236" s="98"/>
      <c r="E236" s="98"/>
      <c r="F236" s="98"/>
      <c r="G236" s="98"/>
      <c r="H236" s="98"/>
    </row>
    <row r="237" spans="2:8" s="20" customFormat="1" hidden="1" x14ac:dyDescent="0.2">
      <c r="B237" s="90" t="s">
        <v>192</v>
      </c>
      <c r="C237" s="90"/>
      <c r="D237" s="90"/>
      <c r="E237" s="90"/>
      <c r="F237" s="90"/>
      <c r="G237" s="90"/>
      <c r="H237" s="90"/>
    </row>
    <row r="238" spans="2:8" s="20" customFormat="1" hidden="1" x14ac:dyDescent="0.2">
      <c r="B238" s="98" t="str">
        <f>IF(Groepsloting!$C$291=1,Groepsloting!D238,IF(Groepsloting!$C$291=2,IF(ISBLANK(Groepsloting!F238),Groepsloting!D238,Groepsloting!F238),IF(Groepsloting!$C$291=3,IF(ISBLANK(Groepsloting!H238),Groepsloting!D238,Groepsloting!H238),Groepsloting!D238)))</f>
        <v>selecteer…</v>
      </c>
      <c r="C238" s="90"/>
      <c r="D238" s="90" t="s">
        <v>210</v>
      </c>
      <c r="E238" s="90"/>
      <c r="F238" s="90" t="s">
        <v>209</v>
      </c>
      <c r="G238" s="90"/>
      <c r="H238" s="90" t="s">
        <v>333</v>
      </c>
    </row>
    <row r="239" spans="2:8" s="20" customFormat="1" hidden="1" x14ac:dyDescent="0.2">
      <c r="B239" s="98" t="str">
        <f>IF(Groepsloting!$C$291=1,Groepsloting!D239,IF(Groepsloting!$C$291=2,IF(ISBLANK(Groepsloting!F239),Groepsloting!D239,Groepsloting!F239),IF(Groepsloting!$C$291=3,IF(ISBLANK(Groepsloting!H239),Groepsloting!D239,Groepsloting!H239),Groepsloting!D239)))</f>
        <v>Algerije</v>
      </c>
      <c r="C239" s="90"/>
      <c r="D239" s="90" t="str">
        <f>D$57</f>
        <v>Algerije</v>
      </c>
      <c r="E239" s="90">
        <f>E$57</f>
        <v>0</v>
      </c>
      <c r="F239" s="90" t="str">
        <f>F$57</f>
        <v>Algeria</v>
      </c>
      <c r="G239" s="90">
        <f>G$57</f>
        <v>0</v>
      </c>
      <c r="H239" s="90" t="str">
        <f>H$57</f>
        <v>Algerien</v>
      </c>
    </row>
    <row r="240" spans="2:8" s="20" customFormat="1" hidden="1" x14ac:dyDescent="0.2">
      <c r="B240" s="98" t="str">
        <f>IF(Groepsloting!$C$291=1,Groepsloting!D240,IF(Groepsloting!$C$291=2,IF(ISBLANK(Groepsloting!F240),Groepsloting!D240,Groepsloting!F240),IF(Groepsloting!$C$291=3,IF(ISBLANK(Groepsloting!H240),Groepsloting!D240,Groepsloting!H240),Groepsloting!D240)))</f>
        <v>Argentinië</v>
      </c>
      <c r="C240" s="90"/>
      <c r="D240" s="90" t="str">
        <f>D$56</f>
        <v>Argentinië</v>
      </c>
      <c r="E240" s="90">
        <f>E$56</f>
        <v>0</v>
      </c>
      <c r="F240" s="90" t="str">
        <f>F$56</f>
        <v>Argentina</v>
      </c>
      <c r="G240" s="90">
        <f>G$56</f>
        <v>0</v>
      </c>
      <c r="H240" s="90" t="str">
        <f>H$56</f>
        <v>Argentinien</v>
      </c>
    </row>
    <row r="241" spans="2:8" s="20" customFormat="1" hidden="1" x14ac:dyDescent="0.2">
      <c r="B241" s="98" t="str">
        <f>IF(Groepsloting!$C$291=1,Groepsloting!D241,IF(Groepsloting!$C$291=2,IF(ISBLANK(Groepsloting!F241),Groepsloting!D241,Groepsloting!F241),IF(Groepsloting!$C$291=3,IF(ISBLANK(Groepsloting!H241),Groepsloting!D241,Groepsloting!H241),Groepsloting!D241)))</f>
        <v>Australië</v>
      </c>
      <c r="C241" s="90"/>
      <c r="D241" s="90" t="str">
        <f>D$22</f>
        <v>Australië</v>
      </c>
      <c r="E241" s="90">
        <f>E$22</f>
        <v>0</v>
      </c>
      <c r="F241" s="90" t="str">
        <f>F$22</f>
        <v>Australia</v>
      </c>
      <c r="G241" s="90">
        <f>G$22</f>
        <v>0</v>
      </c>
      <c r="H241" s="90" t="str">
        <f>H$22</f>
        <v>Australien</v>
      </c>
    </row>
    <row r="242" spans="2:8" s="20" customFormat="1" hidden="1" x14ac:dyDescent="0.2">
      <c r="B242" s="98" t="str">
        <f>IF(Groepsloting!$C$291=1,Groepsloting!D242,IF(Groepsloting!$C$291=2,IF(ISBLANK(Groepsloting!F242),Groepsloting!D242,Groepsloting!F242),IF(Groepsloting!$C$291=3,IF(ISBLANK(Groepsloting!H242),Groepsloting!D242,Groepsloting!H242),Groepsloting!D242)))</f>
        <v>België</v>
      </c>
      <c r="C242" s="90"/>
      <c r="D242" s="90" t="str">
        <f>D$38</f>
        <v>België</v>
      </c>
      <c r="E242" s="90">
        <f>E$38</f>
        <v>0</v>
      </c>
      <c r="F242" s="90" t="str">
        <f>F$38</f>
        <v>Belgium</v>
      </c>
      <c r="G242" s="90">
        <f>G$38</f>
        <v>0</v>
      </c>
      <c r="H242" s="90" t="str">
        <f>H$38</f>
        <v>Belgien</v>
      </c>
    </row>
    <row r="243" spans="2:8" s="20" customFormat="1" hidden="1" x14ac:dyDescent="0.2">
      <c r="B243" s="98" t="str">
        <f>IF(Groepsloting!$C$291=1,Groepsloting!D243,IF(Groepsloting!$C$291=2,IF(ISBLANK(Groepsloting!F243),Groepsloting!D243,Groepsloting!F243),IF(Groepsloting!$C$291=3,IF(ISBLANK(Groepsloting!H243),Groepsloting!D243,Groepsloting!H243),Groepsloting!D243)))</f>
        <v>Irak</v>
      </c>
      <c r="C243" s="90"/>
      <c r="D243" s="90" t="str">
        <f>D$50</f>
        <v>Irak</v>
      </c>
      <c r="E243" s="90">
        <f>E$50</f>
        <v>0</v>
      </c>
      <c r="F243" s="90" t="str">
        <f>F$50</f>
        <v>Iraq</v>
      </c>
      <c r="G243" s="90">
        <f>G$50</f>
        <v>0</v>
      </c>
      <c r="H243" s="90" t="str">
        <f>H$50</f>
        <v>Der Irak</v>
      </c>
    </row>
    <row r="244" spans="2:8" s="20" customFormat="1" hidden="1" x14ac:dyDescent="0.2">
      <c r="B244" s="98" t="str">
        <f>IF(Groepsloting!$C$291=1,Groepsloting!D244,IF(Groepsloting!$C$291=2,IF(ISBLANK(Groepsloting!F244),Groepsloting!D244,Groepsloting!F244),IF(Groepsloting!$C$291=3,IF(ISBLANK(Groepsloting!H244),Groepsloting!D244,Groepsloting!H244),Groepsloting!D244)))</f>
        <v>Brazilië</v>
      </c>
      <c r="C244" s="90"/>
      <c r="D244" s="90" t="str">
        <f>D$14</f>
        <v>Brazilië</v>
      </c>
      <c r="E244" s="90">
        <f>E$14</f>
        <v>0</v>
      </c>
      <c r="F244" s="90" t="str">
        <f>F$14</f>
        <v>Brazil</v>
      </c>
      <c r="G244" s="90">
        <f>G$14</f>
        <v>0</v>
      </c>
      <c r="H244" s="90" t="str">
        <f>H$14</f>
        <v>Brasilien</v>
      </c>
    </row>
    <row r="245" spans="2:8" s="20" customFormat="1" hidden="1" x14ac:dyDescent="0.2">
      <c r="B245" s="98" t="str">
        <f>IF(Groepsloting!$C$291=1,Groepsloting!D245,IF(Groepsloting!$C$291=2,IF(ISBLANK(Groepsloting!F245),Groepsloting!D245,Groepsloting!F245),IF(Groepsloting!$C$291=3,IF(ISBLANK(Groepsloting!H245),Groepsloting!D245,Groepsloting!H245),Groepsloting!D245)))</f>
        <v>Canada</v>
      </c>
      <c r="C245" s="90"/>
      <c r="D245" s="90" t="str">
        <f>D$8</f>
        <v>Canada</v>
      </c>
      <c r="E245" s="90">
        <f>E$8</f>
        <v>0</v>
      </c>
      <c r="F245" s="90" t="str">
        <f>F$8</f>
        <v>Canada</v>
      </c>
      <c r="G245" s="90">
        <f>G$8</f>
        <v>0</v>
      </c>
      <c r="H245" s="90" t="str">
        <f>H$8</f>
        <v>Kanada</v>
      </c>
    </row>
    <row r="246" spans="2:8" s="20" customFormat="1" hidden="1" x14ac:dyDescent="0.2">
      <c r="B246" s="98" t="str">
        <f>IF(Groepsloting!$C$291=1,Groepsloting!D246,IF(Groepsloting!$C$291=2,IF(ISBLANK(Groepsloting!F246),Groepsloting!D246,Groepsloting!F246),IF(Groepsloting!$C$291=3,IF(ISBLANK(Groepsloting!H246),Groepsloting!D246,Groepsloting!H246),Groepsloting!D246)))</f>
        <v>Colombia</v>
      </c>
      <c r="C246" s="90"/>
      <c r="D246" s="90" t="str">
        <f>D$65</f>
        <v>Colombia</v>
      </c>
      <c r="E246" s="90">
        <f>E$65</f>
        <v>0</v>
      </c>
      <c r="F246" s="90" t="str">
        <f>F$65</f>
        <v>Colombia</v>
      </c>
      <c r="G246" s="90">
        <f>G$65</f>
        <v>0</v>
      </c>
      <c r="H246" s="90" t="str">
        <f>H$65</f>
        <v>Kolumbien</v>
      </c>
    </row>
    <row r="247" spans="2:8" s="20" customFormat="1" hidden="1" x14ac:dyDescent="0.2">
      <c r="B247" s="98" t="str">
        <f>IF(Groepsloting!$C$291=1,Groepsloting!D247,IF(Groepsloting!$C$291=2,IF(ISBLANK(Groepsloting!F247),Groepsloting!D247,Groepsloting!F247),IF(Groepsloting!$C$291=3,IF(ISBLANK(Groepsloting!H247),Groepsloting!D247,Groepsloting!H247),Groepsloting!D247)))</f>
        <v>Curaçao</v>
      </c>
      <c r="C247" s="90"/>
      <c r="D247" s="90" t="str">
        <f>D$27</f>
        <v>Curaçao</v>
      </c>
      <c r="E247" s="90">
        <f>E$27</f>
        <v>0</v>
      </c>
      <c r="F247" s="90" t="str">
        <f>F$27</f>
        <v>Curaçao</v>
      </c>
      <c r="G247" s="90">
        <f>G$27</f>
        <v>0</v>
      </c>
      <c r="H247" s="90" t="str">
        <f>H$27</f>
        <v>Curaçao</v>
      </c>
    </row>
    <row r="248" spans="2:8" s="20" customFormat="1" hidden="1" x14ac:dyDescent="0.2">
      <c r="B248" s="90" t="str">
        <f>IF(Groepsloting!$C$291=1,Groepsloting!D248,IF(Groepsloting!$C$291=2,IF(ISBLANK(Groepsloting!F248),Groepsloting!D248,Groepsloting!F248),IF(Groepsloting!$C$291=3,IF(ISBLANK(Groepsloting!H248),Groepsloting!D248,Groepsloting!H248),Groepsloting!D248)))</f>
        <v>Tsjechië</v>
      </c>
      <c r="C248" s="90"/>
      <c r="D248" s="90" t="str">
        <f>D$5</f>
        <v>Tsjechië</v>
      </c>
      <c r="E248" s="90">
        <f>E$5</f>
        <v>0</v>
      </c>
      <c r="F248" s="90" t="str">
        <f>F$5</f>
        <v>Czechia</v>
      </c>
      <c r="G248" s="90">
        <f>G$5</f>
        <v>0</v>
      </c>
      <c r="H248" s="90" t="str">
        <f>H$5</f>
        <v>Tschechien</v>
      </c>
    </row>
    <row r="249" spans="2:8" s="20" customFormat="1" hidden="1" x14ac:dyDescent="0.2">
      <c r="B249" s="98" t="str">
        <f>IF(Groepsloting!$C$291=1,Groepsloting!D249,IF(Groepsloting!$C$291=2,IF(ISBLANK(Groepsloting!F249),Groepsloting!D249,Groepsloting!F249),IF(Groepsloting!$C$291=3,IF(ISBLANK(Groepsloting!H249),Groepsloting!D249,Groepsloting!H249),Groepsloting!D249)))</f>
        <v>Duitsland</v>
      </c>
      <c r="C249" s="90"/>
      <c r="D249" s="90" t="str">
        <f>D$26</f>
        <v>Duitsland</v>
      </c>
      <c r="E249" s="90">
        <f>E$26</f>
        <v>0</v>
      </c>
      <c r="F249" s="90" t="str">
        <f>F$26</f>
        <v>Germany</v>
      </c>
      <c r="G249" s="90">
        <f>G$26</f>
        <v>0</v>
      </c>
      <c r="H249" s="90" t="str">
        <f>H$26</f>
        <v>Deutschland</v>
      </c>
    </row>
    <row r="250" spans="2:8" s="20" customFormat="1" hidden="1" x14ac:dyDescent="0.2">
      <c r="B250" s="98" t="str">
        <f>IF(Groepsloting!$C$291=1,Groepsloting!D250,IF(Groepsloting!$C$291=2,IF(ISBLANK(Groepsloting!F250),Groepsloting!D250,Groepsloting!F250),IF(Groepsloting!$C$291=3,IF(ISBLANK(Groepsloting!H250),Groepsloting!D250,Groepsloting!H250),Groepsloting!D250)))</f>
        <v>Ecuador</v>
      </c>
      <c r="C250" s="90"/>
      <c r="D250" s="90" t="str">
        <f>D$29</f>
        <v>Ecuador</v>
      </c>
      <c r="E250" s="90">
        <f>E$29</f>
        <v>0</v>
      </c>
      <c r="F250" s="90" t="str">
        <f>F$29</f>
        <v>Ecuador</v>
      </c>
      <c r="G250" s="90">
        <f>G$29</f>
        <v>0</v>
      </c>
      <c r="H250" s="90" t="str">
        <f>H$29</f>
        <v>Ecuador</v>
      </c>
    </row>
    <row r="251" spans="2:8" s="20" customFormat="1" hidden="1" x14ac:dyDescent="0.2">
      <c r="B251" s="98" t="str">
        <f>IF(Groepsloting!$C$291=1,Groepsloting!D251,IF(Groepsloting!$C$291=2,IF(ISBLANK(Groepsloting!F251),Groepsloting!D251,Groepsloting!F251),IF(Groepsloting!$C$291=3,IF(ISBLANK(Groepsloting!H251),Groepsloting!D251,Groepsloting!H251),Groepsloting!D251)))</f>
        <v>Egypte</v>
      </c>
      <c r="C251" s="90"/>
      <c r="D251" s="90" t="str">
        <f>D$39</f>
        <v>Egypte</v>
      </c>
      <c r="E251" s="90">
        <f>E$39</f>
        <v>0</v>
      </c>
      <c r="F251" s="90" t="str">
        <f>F$39</f>
        <v>Egypt</v>
      </c>
      <c r="G251" s="90">
        <f>G$39</f>
        <v>0</v>
      </c>
      <c r="H251" s="90" t="str">
        <f>H$39</f>
        <v>Ägypten</v>
      </c>
    </row>
    <row r="252" spans="2:8" s="20" customFormat="1" hidden="1" x14ac:dyDescent="0.2">
      <c r="B252" s="98" t="str">
        <f>IF(Groepsloting!$C$291=1,Groepsloting!D252,IF(Groepsloting!$C$291=2,IF(ISBLANK(Groepsloting!F252),Groepsloting!D252,Groepsloting!F252),IF(Groepsloting!$C$291=3,IF(ISBLANK(Groepsloting!H252),Groepsloting!D252,Groepsloting!H252),Groepsloting!D252)))</f>
        <v>Engeland</v>
      </c>
      <c r="C252" s="90"/>
      <c r="D252" s="90" t="str">
        <f>D$68</f>
        <v>Engeland</v>
      </c>
      <c r="E252" s="90">
        <f>E$68</f>
        <v>0</v>
      </c>
      <c r="F252" s="90" t="str">
        <f>F$68</f>
        <v>England</v>
      </c>
      <c r="G252" s="90">
        <f>G$68</f>
        <v>0</v>
      </c>
      <c r="H252" s="90" t="str">
        <f>H$68</f>
        <v>England</v>
      </c>
    </row>
    <row r="253" spans="2:8" s="20" customFormat="1" hidden="1" x14ac:dyDescent="0.2">
      <c r="B253" s="98" t="str">
        <f>IF(Groepsloting!$C$291=1,Groepsloting!D253,IF(Groepsloting!$C$291=2,IF(ISBLANK(Groepsloting!F253),Groepsloting!D253,Groepsloting!F253),IF(Groepsloting!$C$291=3,IF(ISBLANK(Groepsloting!H253),Groepsloting!D253,Groepsloting!H253),Groepsloting!D253)))</f>
        <v>Frankrijk</v>
      </c>
      <c r="C253" s="90"/>
      <c r="D253" s="90" t="str">
        <f>D$51</f>
        <v>Frankrijk</v>
      </c>
      <c r="E253" s="90">
        <f>E$51</f>
        <v>0</v>
      </c>
      <c r="F253" s="90" t="str">
        <f>F$51</f>
        <v>France</v>
      </c>
      <c r="G253" s="90">
        <f>G$51</f>
        <v>0</v>
      </c>
      <c r="H253" s="90" t="str">
        <f>H$51</f>
        <v>Frankreich</v>
      </c>
    </row>
    <row r="254" spans="2:8" s="20" customFormat="1" hidden="1" x14ac:dyDescent="0.2">
      <c r="B254" s="98" t="str">
        <f>IF(Groepsloting!$C$291=1,Groepsloting!D254,IF(Groepsloting!$C$291=2,IF(ISBLANK(Groepsloting!F254),Groepsloting!D254,Groepsloting!F254),IF(Groepsloting!$C$291=3,IF(ISBLANK(Groepsloting!H254),Groepsloting!D254,Groepsloting!H254),Groepsloting!D254)))</f>
        <v>Ghana</v>
      </c>
      <c r="C254" s="90"/>
      <c r="D254" s="90" t="str">
        <f>D$70</f>
        <v>Ghana</v>
      </c>
      <c r="E254" s="90">
        <f>E$70</f>
        <v>0</v>
      </c>
      <c r="F254" s="90" t="str">
        <f>F$70</f>
        <v>Ghana</v>
      </c>
      <c r="G254" s="90">
        <f>G$70</f>
        <v>0</v>
      </c>
      <c r="H254" s="90" t="str">
        <f>H$70</f>
        <v>Ghana</v>
      </c>
    </row>
    <row r="255" spans="2:8" s="20" customFormat="1" hidden="1" x14ac:dyDescent="0.2">
      <c r="B255" s="98" t="str">
        <f>IF(Groepsloting!$C$291=1,Groepsloting!D255,IF(Groepsloting!$C$291=2,IF(ISBLANK(Groepsloting!F255),Groepsloting!D255,Groepsloting!F255),IF(Groepsloting!$C$291=3,IF(ISBLANK(Groepsloting!H255),Groepsloting!D255,Groepsloting!H255),Groepsloting!D255)))</f>
        <v>Haïti</v>
      </c>
      <c r="C255" s="90"/>
      <c r="D255" s="90" t="str">
        <f>D$16</f>
        <v>Haïti</v>
      </c>
      <c r="E255" s="90">
        <f>E$16</f>
        <v>0</v>
      </c>
      <c r="F255" s="90" t="str">
        <f>F$16</f>
        <v>Haiti</v>
      </c>
      <c r="G255" s="90">
        <f>G$16</f>
        <v>0</v>
      </c>
      <c r="H255" s="90" t="str">
        <f>H$16</f>
        <v>Haiti</v>
      </c>
    </row>
    <row r="256" spans="2:8" s="20" customFormat="1" hidden="1" x14ac:dyDescent="0.2">
      <c r="B256" s="98" t="str">
        <f>IF(Groepsloting!$C$291=1,Groepsloting!D256,IF(Groepsloting!$C$291=2,IF(ISBLANK(Groepsloting!F256),Groepsloting!D256,Groepsloting!F256),IF(Groepsloting!$C$291=3,IF(ISBLANK(Groepsloting!H256),Groepsloting!D256,Groepsloting!H256),Groepsloting!D256)))</f>
        <v>Iran</v>
      </c>
      <c r="C256" s="90"/>
      <c r="D256" s="90" t="str">
        <f>D$40</f>
        <v>Iran</v>
      </c>
      <c r="E256" s="90">
        <f>E$40</f>
        <v>0</v>
      </c>
      <c r="F256" s="90" t="str">
        <f>F$40</f>
        <v>Iran</v>
      </c>
      <c r="G256" s="90">
        <f>G$40</f>
        <v>0</v>
      </c>
      <c r="H256" s="90" t="str">
        <f>H$40</f>
        <v>Iran</v>
      </c>
    </row>
    <row r="257" spans="2:8" s="20" customFormat="1" hidden="1" x14ac:dyDescent="0.2">
      <c r="B257" s="98" t="str">
        <f>IF(Groepsloting!$C$291=1,Groepsloting!D257,IF(Groepsloting!$C$291=2,IF(ISBLANK(Groepsloting!F257),Groepsloting!D257,Groepsloting!F257),IF(Groepsloting!$C$291=3,IF(ISBLANK(Groepsloting!H257),Groepsloting!D257,Groepsloting!H257),Groepsloting!D257)))</f>
        <v>Bosnië-Herzegovina</v>
      </c>
      <c r="C257" s="90"/>
      <c r="D257" s="90" t="str">
        <f>D$11</f>
        <v>Bosnië-Herzegovina</v>
      </c>
      <c r="E257" s="90">
        <f>E$11</f>
        <v>0</v>
      </c>
      <c r="F257" s="90" t="str">
        <f>F$11</f>
        <v>Bosnia-Herzegovina</v>
      </c>
      <c r="G257" s="90">
        <f>G$11</f>
        <v>0</v>
      </c>
      <c r="H257" s="90" t="str">
        <f>H$11</f>
        <v>Bosnien-Herzegowina</v>
      </c>
    </row>
    <row r="258" spans="2:8" s="20" customFormat="1" hidden="1" x14ac:dyDescent="0.2">
      <c r="B258" s="98" t="str">
        <f>IF(Groepsloting!$C$291=1,Groepsloting!D258,IF(Groepsloting!$C$291=2,IF(ISBLANK(Groepsloting!F258),Groepsloting!D258,Groepsloting!F258),IF(Groepsloting!$C$291=3,IF(ISBLANK(Groepsloting!H258),Groepsloting!D258,Groepsloting!H258),Groepsloting!D258)))</f>
        <v>Ivoorkust</v>
      </c>
      <c r="C258" s="90"/>
      <c r="D258" s="90" t="str">
        <f>D$28</f>
        <v>Ivoorkust</v>
      </c>
      <c r="E258" s="90">
        <f>E$28</f>
        <v>0</v>
      </c>
      <c r="F258" s="90" t="str">
        <f>F$28</f>
        <v>Côte d'Ivoire</v>
      </c>
      <c r="G258" s="90">
        <f>G$28</f>
        <v>0</v>
      </c>
      <c r="H258" s="90" t="str">
        <f>H$28</f>
        <v>Elfenbeinküste</v>
      </c>
    </row>
    <row r="259" spans="2:8" s="20" customFormat="1" hidden="1" x14ac:dyDescent="0.2">
      <c r="B259" s="98" t="str">
        <f>IF(Groepsloting!$C$291=1,Groepsloting!D259,IF(Groepsloting!$C$291=2,IF(ISBLANK(Groepsloting!F259),Groepsloting!D259,Groepsloting!F259),IF(Groepsloting!$C$291=3,IF(ISBLANK(Groepsloting!H259),Groepsloting!D259,Groepsloting!H259),Groepsloting!D259)))</f>
        <v>Japan</v>
      </c>
      <c r="C259" s="90"/>
      <c r="D259" s="90" t="str">
        <f>D$33</f>
        <v>Japan</v>
      </c>
      <c r="E259" s="90">
        <f>E$33</f>
        <v>0</v>
      </c>
      <c r="F259" s="90" t="str">
        <f>F$33</f>
        <v>Japan</v>
      </c>
      <c r="G259" s="90">
        <f>G$33</f>
        <v>0</v>
      </c>
      <c r="H259" s="90" t="str">
        <f>H$33</f>
        <v>Japan</v>
      </c>
    </row>
    <row r="260" spans="2:8" s="20" customFormat="1" hidden="1" x14ac:dyDescent="0.2">
      <c r="B260" s="98" t="str">
        <f>IF(Groepsloting!$C$291=1,Groepsloting!D260,IF(Groepsloting!$C$291=2,IF(ISBLANK(Groepsloting!F260),Groepsloting!D260,Groepsloting!F260),IF(Groepsloting!$C$291=3,IF(ISBLANK(Groepsloting!H260),Groepsloting!D260,Groepsloting!H260),Groepsloting!D260)))</f>
        <v>Jordanië</v>
      </c>
      <c r="C260" s="90"/>
      <c r="D260" s="90" t="str">
        <f>D$59</f>
        <v>Jordanië</v>
      </c>
      <c r="E260" s="90">
        <f>E$59</f>
        <v>0</v>
      </c>
      <c r="F260" s="90" t="str">
        <f>F$59</f>
        <v>Jordan</v>
      </c>
      <c r="G260" s="90">
        <f>G$59</f>
        <v>0</v>
      </c>
      <c r="H260" s="90" t="str">
        <f>H$59</f>
        <v>Jordanien</v>
      </c>
    </row>
    <row r="261" spans="2:8" s="20" customFormat="1" hidden="1" x14ac:dyDescent="0.2">
      <c r="B261" s="98" t="str">
        <f>IF(Groepsloting!$C$291=1,Groepsloting!D261,IF(Groepsloting!$C$291=2,IF(ISBLANK(Groepsloting!F261),Groepsloting!D261,Groepsloting!F261),IF(Groepsloting!$C$291=3,IF(ISBLANK(Groepsloting!H261),Groepsloting!D261,Groepsloting!H261),Groepsloting!D261)))</f>
        <v>Kaapverdië</v>
      </c>
      <c r="C261" s="90"/>
      <c r="D261" s="90" t="str">
        <f>D$45</f>
        <v>Kaapverdië</v>
      </c>
      <c r="E261" s="90">
        <f>E$45</f>
        <v>0</v>
      </c>
      <c r="F261" s="90" t="str">
        <f>F$45</f>
        <v>Cabo Verde</v>
      </c>
      <c r="G261" s="90">
        <f>G$45</f>
        <v>0</v>
      </c>
      <c r="H261" s="90" t="str">
        <f>H$45</f>
        <v>Kap Verde</v>
      </c>
    </row>
    <row r="262" spans="2:8" s="20" customFormat="1" hidden="1" x14ac:dyDescent="0.2">
      <c r="B262" s="98" t="str">
        <f>IF(Groepsloting!$C$291=1,Groepsloting!D262,IF(Groepsloting!$C$291=2,IF(ISBLANK(Groepsloting!F262),Groepsloting!D262,Groepsloting!F262),IF(Groepsloting!$C$291=3,IF(ISBLANK(Groepsloting!H262),Groepsloting!D262,Groepsloting!H262),Groepsloting!D262)))</f>
        <v>Kroatië</v>
      </c>
      <c r="C262" s="90"/>
      <c r="D262" s="90" t="str">
        <f>D$69</f>
        <v>Kroatië</v>
      </c>
      <c r="E262" s="90">
        <f>E$69</f>
        <v>0</v>
      </c>
      <c r="F262" s="90" t="str">
        <f>F$69</f>
        <v>Croatia</v>
      </c>
      <c r="G262" s="90">
        <f>G$69</f>
        <v>0</v>
      </c>
      <c r="H262" s="90" t="str">
        <f>H$69</f>
        <v>Kroatien</v>
      </c>
    </row>
    <row r="263" spans="2:8" s="20" customFormat="1" hidden="1" x14ac:dyDescent="0.2">
      <c r="B263" s="98" t="str">
        <f>IF(Groepsloting!$C$291=1,Groepsloting!D263,IF(Groepsloting!$C$291=2,IF(ISBLANK(Groepsloting!F263),Groepsloting!D263,Groepsloting!F263),IF(Groepsloting!$C$291=3,IF(ISBLANK(Groepsloting!H263),Groepsloting!D263,Groepsloting!H263),Groepsloting!D263)))</f>
        <v>Marokko</v>
      </c>
      <c r="C263" s="90"/>
      <c r="D263" s="90" t="str">
        <f>D$15</f>
        <v>Marokko</v>
      </c>
      <c r="E263" s="90">
        <f>E$15</f>
        <v>0</v>
      </c>
      <c r="F263" s="90" t="str">
        <f>F$15</f>
        <v>Morocco</v>
      </c>
      <c r="G263" s="90">
        <f>G$15</f>
        <v>0</v>
      </c>
      <c r="H263" s="90" t="str">
        <f>H$15</f>
        <v>Marokko</v>
      </c>
    </row>
    <row r="264" spans="2:8" s="20" customFormat="1" hidden="1" x14ac:dyDescent="0.2">
      <c r="B264" s="98" t="str">
        <f>IF(Groepsloting!$C$291=1,Groepsloting!D264,IF(Groepsloting!$C$291=2,IF(ISBLANK(Groepsloting!F264),Groepsloting!D264,Groepsloting!F264),IF(Groepsloting!$C$291=3,IF(ISBLANK(Groepsloting!H264),Groepsloting!D264,Groepsloting!H264),Groepsloting!D264)))</f>
        <v>Mexico</v>
      </c>
      <c r="C264" s="90"/>
      <c r="D264" s="90" t="str">
        <f>D$2</f>
        <v>Mexico</v>
      </c>
      <c r="E264" s="90">
        <f>E$2</f>
        <v>0</v>
      </c>
      <c r="F264" s="90" t="str">
        <f>F$2</f>
        <v>Mexico</v>
      </c>
      <c r="G264" s="90">
        <f>G$2</f>
        <v>0</v>
      </c>
      <c r="H264" s="90" t="str">
        <f>H$2</f>
        <v>Mexiko</v>
      </c>
    </row>
    <row r="265" spans="2:8" s="20" customFormat="1" hidden="1" x14ac:dyDescent="0.2">
      <c r="B265" s="98" t="str">
        <f>IF(Groepsloting!$C$291=1,Groepsloting!D265,IF(Groepsloting!$C$291=2,IF(ISBLANK(Groepsloting!F265),Groepsloting!D265,Groepsloting!F265),IF(Groepsloting!$C$291=3,IF(ISBLANK(Groepsloting!H265),Groepsloting!D265,Groepsloting!H265),Groepsloting!D265)))</f>
        <v>Congo</v>
      </c>
      <c r="C265" s="90"/>
      <c r="D265" s="90" t="str">
        <f>D$62</f>
        <v>Congo</v>
      </c>
      <c r="E265" s="90">
        <f>E$62</f>
        <v>0</v>
      </c>
      <c r="F265" s="90" t="str">
        <f>F$62</f>
        <v>Congo</v>
      </c>
      <c r="G265" s="90">
        <f>G$62</f>
        <v>0</v>
      </c>
      <c r="H265" s="90" t="str">
        <f>H$62</f>
        <v>Kongo</v>
      </c>
    </row>
    <row r="266" spans="2:8" s="20" customFormat="1" hidden="1" x14ac:dyDescent="0.2">
      <c r="B266" s="98" t="str">
        <f>IF(Groepsloting!$C$291=1,Groepsloting!D266,IF(Groepsloting!$C$291=2,IF(ISBLANK(Groepsloting!F266),Groepsloting!D266,Groepsloting!F266),IF(Groepsloting!$C$291=3,IF(ISBLANK(Groepsloting!H266),Groepsloting!D266,Groepsloting!H266),Groepsloting!D266)))</f>
        <v>Nederland</v>
      </c>
      <c r="C266" s="90"/>
      <c r="D266" s="90" t="str">
        <f>D$32</f>
        <v>Nederland</v>
      </c>
      <c r="E266" s="90">
        <f>E$32</f>
        <v>0</v>
      </c>
      <c r="F266" s="90" t="str">
        <f>F$32</f>
        <v>Netherlands</v>
      </c>
      <c r="G266" s="90">
        <f>G$32</f>
        <v>0</v>
      </c>
      <c r="H266" s="90" t="str">
        <f>H$32</f>
        <v>Niederlande</v>
      </c>
    </row>
    <row r="267" spans="2:8" s="20" customFormat="1" hidden="1" x14ac:dyDescent="0.2">
      <c r="B267" s="98" t="str">
        <f>IF(Groepsloting!$C$291=1,Groepsloting!D267,IF(Groepsloting!$C$291=2,IF(ISBLANK(Groepsloting!F267),Groepsloting!D267,Groepsloting!F267),IF(Groepsloting!$C$291=3,IF(ISBLANK(Groepsloting!H267),Groepsloting!D267,Groepsloting!H267),Groepsloting!D267)))</f>
        <v>Nederlands</v>
      </c>
      <c r="C267" s="90"/>
      <c r="D267" s="100" t="s">
        <v>202</v>
      </c>
      <c r="E267" s="100" t="s">
        <v>202</v>
      </c>
      <c r="F267" s="100" t="s">
        <v>202</v>
      </c>
      <c r="G267" s="100" t="s">
        <v>202</v>
      </c>
      <c r="H267" s="100" t="s">
        <v>202</v>
      </c>
    </row>
    <row r="268" spans="2:8" s="20" customFormat="1" hidden="1" x14ac:dyDescent="0.2">
      <c r="B268" s="98" t="str">
        <f>IF(Groepsloting!$C$291=1,Groepsloting!D268,IF(Groepsloting!$C$291=2,IF(ISBLANK(Groepsloting!F268),Groepsloting!D268,Groepsloting!F268),IF(Groepsloting!$C$291=3,IF(ISBLANK(Groepsloting!H268),Groepsloting!D268,Groepsloting!H268),Groepsloting!D268)))</f>
        <v>Nieuw-Zeeland</v>
      </c>
      <c r="C268" s="90"/>
      <c r="D268" s="90" t="str">
        <f>D$41</f>
        <v>Nieuw-Zeeland</v>
      </c>
      <c r="E268" s="90">
        <f>E$41</f>
        <v>0</v>
      </c>
      <c r="F268" s="90" t="str">
        <f>F$41</f>
        <v>New Zealand</v>
      </c>
      <c r="G268" s="90">
        <f>G$41</f>
        <v>0</v>
      </c>
      <c r="H268" s="90" t="str">
        <f>H$41</f>
        <v>Neuseeland</v>
      </c>
    </row>
    <row r="269" spans="2:8" s="20" customFormat="1" hidden="1" x14ac:dyDescent="0.2">
      <c r="B269" s="98" t="str">
        <f>IF(Groepsloting!$C$291=1,Groepsloting!D269,IF(Groepsloting!$C$291=2,IF(ISBLANK(Groepsloting!F269),Groepsloting!D269,Groepsloting!F269),IF(Groepsloting!$C$291=3,IF(ISBLANK(Groepsloting!H269),Groepsloting!D269,Groepsloting!H269),Groepsloting!D269)))</f>
        <v>Noorwegen</v>
      </c>
      <c r="C269" s="90"/>
      <c r="D269" s="90" t="str">
        <f>D$53</f>
        <v>Noorwegen</v>
      </c>
      <c r="E269" s="90">
        <f>E$53</f>
        <v>0</v>
      </c>
      <c r="F269" s="90" t="str">
        <f>F$53</f>
        <v>Norway</v>
      </c>
      <c r="G269" s="90">
        <f>G$53</f>
        <v>0</v>
      </c>
      <c r="H269" s="90" t="str">
        <f>H$53</f>
        <v>Norwegen</v>
      </c>
    </row>
    <row r="270" spans="2:8" s="20" customFormat="1" hidden="1" x14ac:dyDescent="0.2">
      <c r="B270" s="98" t="str">
        <f>IF(Groepsloting!$C$291=1,Groepsloting!D270,IF(Groepsloting!$C$291=2,IF(ISBLANK(Groepsloting!F270),Groepsloting!D270,Groepsloting!F270),IF(Groepsloting!$C$291=3,IF(ISBLANK(Groepsloting!H270),Groepsloting!D270,Groepsloting!H270),Groepsloting!D270)))</f>
        <v>Oezbekistan</v>
      </c>
      <c r="C270" s="90"/>
      <c r="D270" s="90" t="str">
        <f>D$64</f>
        <v>Oezbekistan</v>
      </c>
      <c r="E270" s="90">
        <f>E$64</f>
        <v>0</v>
      </c>
      <c r="F270" s="90" t="str">
        <f>F$64</f>
        <v>Uzbekistan</v>
      </c>
      <c r="G270" s="90">
        <f>G$64</f>
        <v>0</v>
      </c>
      <c r="H270" s="90" t="str">
        <f>H$64</f>
        <v>Usbekistan</v>
      </c>
    </row>
    <row r="271" spans="2:8" s="20" customFormat="1" hidden="1" x14ac:dyDescent="0.2">
      <c r="B271" s="98" t="str">
        <f>IF(Groepsloting!$C$291=1,Groepsloting!D271,IF(Groepsloting!$C$291=2,IF(ISBLANK(Groepsloting!F271),Groepsloting!D271,Groepsloting!F271),IF(Groepsloting!$C$291=3,IF(ISBLANK(Groepsloting!H271),Groepsloting!D271,Groepsloting!H271),Groepsloting!D271)))</f>
        <v>Oostenrijk</v>
      </c>
      <c r="C271" s="90"/>
      <c r="D271" s="90" t="str">
        <f>D$58</f>
        <v>Oostenrijk</v>
      </c>
      <c r="E271" s="90">
        <f>E$58</f>
        <v>0</v>
      </c>
      <c r="F271" s="90" t="str">
        <f>F$58</f>
        <v>Austria</v>
      </c>
      <c r="G271" s="90">
        <f>G$58</f>
        <v>0</v>
      </c>
      <c r="H271" s="90" t="str">
        <f>H$58</f>
        <v>Österreich</v>
      </c>
    </row>
    <row r="272" spans="2:8" s="20" customFormat="1" hidden="1" x14ac:dyDescent="0.2">
      <c r="B272" s="98" t="str">
        <f>IF(Groepsloting!$C$291=1,Groepsloting!D272,IF(Groepsloting!$C$291=2,IF(ISBLANK(Groepsloting!F272),Groepsloting!D272,Groepsloting!F272),IF(Groepsloting!$C$291=3,IF(ISBLANK(Groepsloting!H272),Groepsloting!D272,Groepsloting!H272),Groepsloting!D272)))</f>
        <v>Panama</v>
      </c>
      <c r="C272" s="90"/>
      <c r="D272" s="90" t="str">
        <f>D$71</f>
        <v>Panama</v>
      </c>
      <c r="E272" s="90">
        <f>E$71</f>
        <v>0</v>
      </c>
      <c r="F272" s="90" t="str">
        <f>F$71</f>
        <v>Panama</v>
      </c>
      <c r="G272" s="90">
        <f>G$71</f>
        <v>0</v>
      </c>
      <c r="H272" s="90" t="str">
        <f>H$71</f>
        <v>Panama</v>
      </c>
    </row>
    <row r="273" spans="2:8" s="20" customFormat="1" hidden="1" x14ac:dyDescent="0.2">
      <c r="B273" s="98" t="str">
        <f>IF(Groepsloting!$C$291=1,Groepsloting!D273,IF(Groepsloting!$C$291=2,IF(ISBLANK(Groepsloting!F273),Groepsloting!D273,Groepsloting!F273),IF(Groepsloting!$C$291=3,IF(ISBLANK(Groepsloting!H273),Groepsloting!D273,Groepsloting!H273),Groepsloting!D273)))</f>
        <v>Paraguay</v>
      </c>
      <c r="C273" s="90"/>
      <c r="D273" s="90" t="str">
        <f>D$21</f>
        <v>Paraguay</v>
      </c>
      <c r="E273" s="90">
        <f>E$21</f>
        <v>0</v>
      </c>
      <c r="F273" s="90" t="str">
        <f>F$21</f>
        <v>Paraguay</v>
      </c>
      <c r="G273" s="90">
        <f>G$21</f>
        <v>0</v>
      </c>
      <c r="H273" s="90" t="str">
        <f>H$21</f>
        <v>Paraguay</v>
      </c>
    </row>
    <row r="274" spans="2:8" s="20" customFormat="1" hidden="1" x14ac:dyDescent="0.2">
      <c r="B274" s="98" t="str">
        <f>IF(Groepsloting!$C$291=1,Groepsloting!D274,IF(Groepsloting!$C$291=2,IF(ISBLANK(Groepsloting!F274),Groepsloting!D274,Groepsloting!F274),IF(Groepsloting!$C$291=3,IF(ISBLANK(Groepsloting!H274),Groepsloting!D274,Groepsloting!H274),Groepsloting!D274)))</f>
        <v>Portugal</v>
      </c>
      <c r="C274" s="90"/>
      <c r="D274" s="90" t="str">
        <f>D$63</f>
        <v>Portugal</v>
      </c>
      <c r="E274" s="90">
        <f>E$63</f>
        <v>0</v>
      </c>
      <c r="F274" s="90" t="str">
        <f>F$63</f>
        <v>Portugal</v>
      </c>
      <c r="G274" s="90">
        <f>G$63</f>
        <v>0</v>
      </c>
      <c r="H274" s="90" t="str">
        <f>H$63</f>
        <v>Portugal</v>
      </c>
    </row>
    <row r="275" spans="2:8" s="20" customFormat="1" hidden="1" x14ac:dyDescent="0.2">
      <c r="B275" s="98" t="str">
        <f>IF(Groepsloting!$C$291=1,Groepsloting!D275,IF(Groepsloting!$C$291=2,IF(ISBLANK(Groepsloting!F275),Groepsloting!D275,Groepsloting!F275),IF(Groepsloting!$C$291=3,IF(ISBLANK(Groepsloting!H275),Groepsloting!D275,Groepsloting!H275),Groepsloting!D275)))</f>
        <v>Qatar</v>
      </c>
      <c r="C275" s="90"/>
      <c r="D275" s="90" t="str">
        <f>D$9</f>
        <v>Qatar</v>
      </c>
      <c r="E275" s="90">
        <f>E$9</f>
        <v>0</v>
      </c>
      <c r="F275" s="90" t="str">
        <f>F$9</f>
        <v>Qatar</v>
      </c>
      <c r="G275" s="90">
        <f>G$9</f>
        <v>0</v>
      </c>
      <c r="H275" s="90" t="str">
        <f>H$9</f>
        <v>Katar</v>
      </c>
    </row>
    <row r="276" spans="2:8" s="20" customFormat="1" hidden="1" x14ac:dyDescent="0.2">
      <c r="B276" s="98" t="str">
        <f>IF(Groepsloting!$C$291=1,Groepsloting!D276,IF(Groepsloting!$C$291=2,IF(ISBLANK(Groepsloting!F276),Groepsloting!D276,Groepsloting!F276),IF(Groepsloting!$C$291=3,IF(ISBLANK(Groepsloting!H276),Groepsloting!D276,Groepsloting!H276),Groepsloting!D276)))</f>
        <v>Saoedi-Arabië</v>
      </c>
      <c r="C276" s="90"/>
      <c r="D276" s="90" t="str">
        <f>D$46</f>
        <v>Saoedi-Arabië</v>
      </c>
      <c r="E276" s="90">
        <f>E$46</f>
        <v>0</v>
      </c>
      <c r="F276" s="90" t="str">
        <f>F$46</f>
        <v>Saudi Arabia</v>
      </c>
      <c r="G276" s="90">
        <f>G$46</f>
        <v>0</v>
      </c>
      <c r="H276" s="90" t="str">
        <f>H$46</f>
        <v>Saudi-Arabien</v>
      </c>
    </row>
    <row r="277" spans="2:8" s="20" customFormat="1" hidden="1" x14ac:dyDescent="0.2">
      <c r="B277" s="98" t="str">
        <f>IF(Groepsloting!$C$291=1,Groepsloting!D277,IF(Groepsloting!$C$291=2,IF(ISBLANK(Groepsloting!F277),Groepsloting!D277,Groepsloting!F277),IF(Groepsloting!$C$291=3,IF(ISBLANK(Groepsloting!H277),Groepsloting!D277,Groepsloting!H277),Groepsloting!D277)))</f>
        <v>Schotland</v>
      </c>
      <c r="C277" s="90"/>
      <c r="D277" s="90" t="str">
        <f>D$17</f>
        <v>Schotland</v>
      </c>
      <c r="E277" s="90">
        <f>E$17</f>
        <v>0</v>
      </c>
      <c r="F277" s="90" t="str">
        <f>F$17</f>
        <v>Scotland</v>
      </c>
      <c r="G277" s="90">
        <f>G$17</f>
        <v>0</v>
      </c>
      <c r="H277" s="90" t="str">
        <f>H$17</f>
        <v>Schottland</v>
      </c>
    </row>
    <row r="278" spans="2:8" s="20" customFormat="1" hidden="1" x14ac:dyDescent="0.2">
      <c r="B278" s="98" t="str">
        <f>IF(Groepsloting!$C$291=1,Groepsloting!D278,IF(Groepsloting!$C$291=2,IF(ISBLANK(Groepsloting!F278),Groepsloting!D278,Groepsloting!F278),IF(Groepsloting!$C$291=3,IF(ISBLANK(Groepsloting!H278),Groepsloting!D278,Groepsloting!H278),Groepsloting!D278)))</f>
        <v>Senegal</v>
      </c>
      <c r="C278" s="90"/>
      <c r="D278" s="90" t="str">
        <f>D$52</f>
        <v>Senegal</v>
      </c>
      <c r="E278" s="90">
        <f>E$52</f>
        <v>0</v>
      </c>
      <c r="F278" s="90" t="str">
        <f>F$52</f>
        <v>Senegal</v>
      </c>
      <c r="G278" s="90">
        <f>G$52</f>
        <v>0</v>
      </c>
      <c r="H278" s="90" t="str">
        <f>H$52</f>
        <v>Senegal</v>
      </c>
    </row>
    <row r="279" spans="2:8" s="20" customFormat="1" hidden="1" x14ac:dyDescent="0.2">
      <c r="B279" s="98" t="str">
        <f>IF(Groepsloting!$C$291=1,Groepsloting!D279,IF(Groepsloting!$C$291=2,IF(ISBLANK(Groepsloting!F279),Groepsloting!D279,Groepsloting!F279),IF(Groepsloting!$C$291=3,IF(ISBLANK(Groepsloting!H279),Groepsloting!D279,Groepsloting!H279),Groepsloting!D279)))</f>
        <v>Spanje</v>
      </c>
      <c r="C279" s="90"/>
      <c r="D279" s="90" t="str">
        <f>D$44</f>
        <v>Spanje</v>
      </c>
      <c r="E279" s="90">
        <f>E$44</f>
        <v>0</v>
      </c>
      <c r="F279" s="90" t="str">
        <f>F$44</f>
        <v>Spain</v>
      </c>
      <c r="G279" s="90">
        <f>G$44</f>
        <v>0</v>
      </c>
      <c r="H279" s="90" t="str">
        <f>H$44</f>
        <v>Spanien</v>
      </c>
    </row>
    <row r="280" spans="2:8" s="20" customFormat="1" hidden="1" x14ac:dyDescent="0.2">
      <c r="B280" s="98" t="str">
        <f>IF(Groepsloting!$C$291=1,Groepsloting!D280,IF(Groepsloting!$C$291=2,IF(ISBLANK(Groepsloting!F280),Groepsloting!D280,Groepsloting!F280),IF(Groepsloting!$C$291=3,IF(ISBLANK(Groepsloting!H280),Groepsloting!D280,Groepsloting!H280),Groepsloting!D280)))</f>
        <v>Tunesië</v>
      </c>
      <c r="C280" s="90"/>
      <c r="D280" s="90" t="str">
        <f>D$34</f>
        <v>Tunesië</v>
      </c>
      <c r="E280" s="90">
        <f>E$34</f>
        <v>0</v>
      </c>
      <c r="F280" s="90" t="str">
        <f>F$34</f>
        <v>Tunisia</v>
      </c>
      <c r="G280" s="90">
        <f>G$34</f>
        <v>0</v>
      </c>
      <c r="H280" s="90" t="str">
        <f>H$34</f>
        <v>Tunesien</v>
      </c>
    </row>
    <row r="281" spans="2:8" s="20" customFormat="1" hidden="1" x14ac:dyDescent="0.2">
      <c r="B281" s="98" t="str">
        <f>IF(Groepsloting!$C$291=1,Groepsloting!D281,IF(Groepsloting!$C$291=2,IF(ISBLANK(Groepsloting!F281),Groepsloting!D281,Groepsloting!F281),IF(Groepsloting!$C$291=3,IF(ISBLANK(Groepsloting!H281),Groepsloting!D281,Groepsloting!H281),Groepsloting!D281)))</f>
        <v>Turkije</v>
      </c>
      <c r="C281" s="90"/>
      <c r="D281" s="90" t="str">
        <f>D$23</f>
        <v>Turkije</v>
      </c>
      <c r="E281" s="90">
        <f>E$23</f>
        <v>0</v>
      </c>
      <c r="F281" s="90" t="str">
        <f>F$23</f>
        <v>Turkiye</v>
      </c>
      <c r="G281" s="90">
        <f>G$23</f>
        <v>0</v>
      </c>
      <c r="H281" s="90" t="str">
        <f>H$23</f>
        <v>Türkei</v>
      </c>
    </row>
    <row r="282" spans="2:8" s="20" customFormat="1" hidden="1" x14ac:dyDescent="0.2">
      <c r="B282" s="98" t="str">
        <f>IF(Groepsloting!$C$291=1,Groepsloting!D282,IF(Groepsloting!$C$291=2,IF(ISBLANK(Groepsloting!F282),Groepsloting!D282,Groepsloting!F282),IF(Groepsloting!$C$291=3,IF(ISBLANK(Groepsloting!H282),Groepsloting!D282,Groepsloting!H282),Groepsloting!D282)))</f>
        <v>Zweden</v>
      </c>
      <c r="C282" s="90"/>
      <c r="D282" s="90" t="str">
        <f>D$35</f>
        <v>Zweden</v>
      </c>
      <c r="E282" s="90">
        <f>E$35</f>
        <v>0</v>
      </c>
      <c r="F282" s="90" t="str">
        <f>F$35</f>
        <v>Sweden</v>
      </c>
      <c r="G282" s="90">
        <f>G$35</f>
        <v>0</v>
      </c>
      <c r="H282" s="90" t="str">
        <f>H$35</f>
        <v>Schweden</v>
      </c>
    </row>
    <row r="283" spans="2:8" s="20" customFormat="1" hidden="1" x14ac:dyDescent="0.2">
      <c r="B283" s="98" t="str">
        <f>IF(Groepsloting!$C$291=1,Groepsloting!D283,IF(Groepsloting!$C$291=2,IF(ISBLANK(Groepsloting!F283),Groepsloting!D283,Groepsloting!F283),IF(Groepsloting!$C$291=3,IF(ISBLANK(Groepsloting!H283),Groepsloting!D283,Groepsloting!H283),Groepsloting!D283)))</f>
        <v>Uruguay</v>
      </c>
      <c r="C283" s="90"/>
      <c r="D283" s="90" t="str">
        <f>D$47</f>
        <v>Uruguay</v>
      </c>
      <c r="E283" s="90">
        <f>E$47</f>
        <v>0</v>
      </c>
      <c r="F283" s="90" t="str">
        <f>F$47</f>
        <v>Uruguay</v>
      </c>
      <c r="G283" s="90">
        <f>G$47</f>
        <v>0</v>
      </c>
      <c r="H283" s="90" t="str">
        <f>H$47</f>
        <v>Uruguay</v>
      </c>
    </row>
    <row r="284" spans="2:8" s="20" customFormat="1" hidden="1" x14ac:dyDescent="0.2">
      <c r="B284" s="98" t="str">
        <f>IF(Groepsloting!$C$291=1,Groepsloting!D284,IF(Groepsloting!$C$291=2,IF(ISBLANK(Groepsloting!F284),Groepsloting!D284,Groepsloting!F284),IF(Groepsloting!$C$291=3,IF(ISBLANK(Groepsloting!H284),Groepsloting!D284,Groepsloting!H284),Groepsloting!D284)))</f>
        <v>Verenigde Staten</v>
      </c>
      <c r="C284" s="90"/>
      <c r="D284" s="90" t="str">
        <f>D$20</f>
        <v>Verenigde Staten</v>
      </c>
      <c r="E284" s="90">
        <f>E$20</f>
        <v>0</v>
      </c>
      <c r="F284" s="90" t="str">
        <f>F$20</f>
        <v>United States</v>
      </c>
      <c r="G284" s="90">
        <f>G$20</f>
        <v>0</v>
      </c>
      <c r="H284" s="90" t="str">
        <f>H$20</f>
        <v>Vereinigte Staaten</v>
      </c>
    </row>
    <row r="285" spans="2:8" s="20" customFormat="1" hidden="1" x14ac:dyDescent="0.2">
      <c r="B285" s="98" t="str">
        <f>IF(Groepsloting!$C$291=1,Groepsloting!D285,IF(Groepsloting!$C$291=2,IF(ISBLANK(Groepsloting!F285),Groepsloting!D285,Groepsloting!F285),IF(Groepsloting!$C$291=3,IF(ISBLANK(Groepsloting!H285),Groepsloting!D285,Groepsloting!H285),Groepsloting!D285)))</f>
        <v>Zuid-Afrika</v>
      </c>
      <c r="C285" s="90"/>
      <c r="D285" s="90" t="str">
        <f>D$3</f>
        <v>Zuid-Afrika</v>
      </c>
      <c r="E285" s="90">
        <f>E$3</f>
        <v>0</v>
      </c>
      <c r="F285" s="90" t="str">
        <f>F$3</f>
        <v>South Africa</v>
      </c>
      <c r="G285" s="90">
        <f>G$3</f>
        <v>0</v>
      </c>
      <c r="H285" s="90" t="str">
        <f>H$3</f>
        <v>Südafrika</v>
      </c>
    </row>
    <row r="286" spans="2:8" s="20" customFormat="1" hidden="1" x14ac:dyDescent="0.2">
      <c r="B286" s="98" t="str">
        <f>IF(Groepsloting!$C$291=1,Groepsloting!D286,IF(Groepsloting!$C$291=2,IF(ISBLANK(Groepsloting!F286),Groepsloting!D286,Groepsloting!F286),IF(Groepsloting!$C$291=3,IF(ISBLANK(Groepsloting!H286),Groepsloting!D286,Groepsloting!H286),Groepsloting!D286)))</f>
        <v>Zuid-Korea</v>
      </c>
      <c r="C286" s="90"/>
      <c r="D286" s="90" t="str">
        <f>D$4</f>
        <v>Zuid-Korea</v>
      </c>
      <c r="E286" s="90">
        <f>E$4</f>
        <v>0</v>
      </c>
      <c r="F286" s="90" t="str">
        <f>F$4</f>
        <v>South Korea</v>
      </c>
      <c r="G286" s="90">
        <f>G$4</f>
        <v>0</v>
      </c>
      <c r="H286" s="90" t="str">
        <f>H$4</f>
        <v>Südkorea</v>
      </c>
    </row>
    <row r="287" spans="2:8" s="20" customFormat="1" hidden="1" x14ac:dyDescent="0.2">
      <c r="B287" s="98" t="str">
        <f>IF(Groepsloting!$C$291=1,Groepsloting!D287,IF(Groepsloting!$C$291=2,IF(ISBLANK(Groepsloting!F287),Groepsloting!D287,Groepsloting!F287),IF(Groepsloting!$C$291=3,IF(ISBLANK(Groepsloting!H287),Groepsloting!D287,Groepsloting!H287),Groepsloting!D287)))</f>
        <v>Zwitserland</v>
      </c>
      <c r="C287" s="90"/>
      <c r="D287" s="90" t="str">
        <f>D$10</f>
        <v>Zwitserland</v>
      </c>
      <c r="E287" s="90">
        <f>E$10</f>
        <v>0</v>
      </c>
      <c r="F287" s="90" t="str">
        <f>F$10</f>
        <v>Switzerland</v>
      </c>
      <c r="G287" s="90">
        <f>G$10</f>
        <v>0</v>
      </c>
      <c r="H287" s="90" t="str">
        <f>H$10</f>
        <v>Schweiz</v>
      </c>
    </row>
    <row r="288" spans="2:8" s="20" customFormat="1" hidden="1" x14ac:dyDescent="0.2">
      <c r="B288" s="98"/>
      <c r="C288" s="90"/>
      <c r="D288" s="90"/>
      <c r="E288" s="90"/>
      <c r="F288" s="90"/>
      <c r="G288" s="90"/>
      <c r="H288" s="90"/>
    </row>
    <row r="289" spans="1:8" s="20" customFormat="1" hidden="1" x14ac:dyDescent="0.2">
      <c r="B289" s="98" t="str">
        <f>IF(Groepsloting!$C$291=1,Groepsloting!D289,IF(Groepsloting!$C$291=2,IF(ISBLANK(Groepsloting!F289),Groepsloting!D289,Groepsloting!F289),IF(Groepsloting!$C$291=3,IF(ISBLANK(Groepsloting!H289),Groepsloting!D289,Groepsloting!H289),Groepsloting!D289)))</f>
        <v>Taal:</v>
      </c>
      <c r="C289" s="90"/>
      <c r="D289" s="90" t="s">
        <v>206</v>
      </c>
      <c r="E289" s="90"/>
      <c r="F289" s="90" t="s">
        <v>205</v>
      </c>
      <c r="G289" s="90"/>
      <c r="H289" s="90" t="s">
        <v>207</v>
      </c>
    </row>
    <row r="290" spans="1:8" s="20" customFormat="1" hidden="1" x14ac:dyDescent="0.2">
      <c r="A290" s="90"/>
      <c r="B290" s="90" t="s">
        <v>275</v>
      </c>
      <c r="C290" s="90"/>
      <c r="D290" s="90"/>
      <c r="E290" s="90"/>
      <c r="F290" s="90"/>
      <c r="G290" s="90"/>
      <c r="H290" s="90"/>
    </row>
    <row r="291" spans="1:8" s="20" customFormat="1" ht="14.25" hidden="1" x14ac:dyDescent="0.2">
      <c r="B291" s="90" t="str">
        <f>Inschrijving!O3</f>
        <v>Nederlands</v>
      </c>
      <c r="C291" s="67">
        <f>IF(Samenvatting!I1="",IF(B291=D291,1,IF(B291=D292,2,(IF(B291=D293,3,1)))),Samenvatting!I1)</f>
        <v>1</v>
      </c>
      <c r="D291" s="90" t="s">
        <v>202</v>
      </c>
    </row>
    <row r="292" spans="1:8" s="20" customFormat="1" hidden="1" x14ac:dyDescent="0.2">
      <c r="B292" s="90"/>
      <c r="C292" s="90"/>
      <c r="D292" s="90" t="s">
        <v>203</v>
      </c>
    </row>
    <row r="293" spans="1:8" s="20" customFormat="1" hidden="1" x14ac:dyDescent="0.2">
      <c r="B293" s="90"/>
      <c r="C293" s="90"/>
      <c r="D293" s="90" t="s">
        <v>204</v>
      </c>
    </row>
    <row r="294" spans="1:8" s="20" customFormat="1" hidden="1" x14ac:dyDescent="0.2">
      <c r="A294" s="90"/>
      <c r="B294" s="90" t="s">
        <v>274</v>
      </c>
      <c r="C294" s="90"/>
      <c r="D294" s="90"/>
      <c r="E294" s="90"/>
      <c r="F294" s="90"/>
      <c r="G294" s="90"/>
      <c r="H294" s="90"/>
    </row>
    <row r="295" spans="1:8" s="20" customFormat="1" hidden="1" x14ac:dyDescent="0.2">
      <c r="A295" s="90"/>
      <c r="B295" s="90">
        <v>0</v>
      </c>
      <c r="C295" s="90"/>
      <c r="D295" s="90"/>
      <c r="E295" s="90"/>
      <c r="F295" s="90"/>
      <c r="G295" s="90"/>
      <c r="H295" s="90"/>
    </row>
    <row r="296" spans="1:8" s="20" customFormat="1" hidden="1" x14ac:dyDescent="0.2">
      <c r="A296" s="90"/>
      <c r="B296" s="90">
        <v>1</v>
      </c>
      <c r="C296" s="90"/>
      <c r="D296" s="90"/>
      <c r="E296" s="90"/>
      <c r="F296" s="90"/>
      <c r="G296" s="90"/>
      <c r="H296" s="90"/>
    </row>
    <row r="297" spans="1:8" s="20" customFormat="1" hidden="1" x14ac:dyDescent="0.2">
      <c r="A297" s="90"/>
      <c r="B297" s="90">
        <v>2</v>
      </c>
      <c r="C297" s="90"/>
      <c r="D297" s="90"/>
      <c r="E297" s="90"/>
      <c r="F297" s="90"/>
      <c r="G297" s="90"/>
      <c r="H297" s="90"/>
    </row>
    <row r="298" spans="1:8" s="20" customFormat="1" hidden="1" x14ac:dyDescent="0.2">
      <c r="A298" s="90"/>
      <c r="B298" s="90">
        <v>3</v>
      </c>
      <c r="C298" s="90"/>
      <c r="D298" s="90"/>
      <c r="E298" s="90"/>
      <c r="F298" s="90"/>
      <c r="G298" s="90"/>
      <c r="H298" s="90"/>
    </row>
    <row r="299" spans="1:8" s="20" customFormat="1" hidden="1" x14ac:dyDescent="0.2">
      <c r="A299" s="90"/>
      <c r="B299" s="90">
        <v>4</v>
      </c>
      <c r="C299" s="90"/>
      <c r="D299" s="90"/>
      <c r="E299" s="90"/>
      <c r="F299" s="90"/>
      <c r="G299" s="90"/>
      <c r="H299" s="90"/>
    </row>
    <row r="300" spans="1:8" s="20" customFormat="1" hidden="1" x14ac:dyDescent="0.2">
      <c r="A300" s="90"/>
      <c r="B300" s="90">
        <v>5</v>
      </c>
      <c r="C300" s="90"/>
      <c r="D300" s="90"/>
      <c r="E300" s="90"/>
      <c r="F300" s="90"/>
      <c r="G300" s="90"/>
      <c r="H300" s="90"/>
    </row>
    <row r="301" spans="1:8" s="20" customFormat="1" hidden="1" x14ac:dyDescent="0.2">
      <c r="A301" s="90"/>
      <c r="B301" s="90">
        <v>6</v>
      </c>
      <c r="C301" s="90"/>
      <c r="D301" s="90"/>
      <c r="E301" s="90"/>
      <c r="F301" s="90"/>
      <c r="G301" s="90"/>
      <c r="H301" s="90"/>
    </row>
    <row r="302" spans="1:8" s="20" customFormat="1" hidden="1" x14ac:dyDescent="0.2">
      <c r="A302" s="90"/>
      <c r="B302" s="90">
        <v>7</v>
      </c>
      <c r="C302" s="90"/>
      <c r="D302" s="90"/>
      <c r="E302" s="90"/>
      <c r="F302" s="90"/>
      <c r="G302" s="90"/>
      <c r="H302" s="90"/>
    </row>
    <row r="303" spans="1:8" s="20" customFormat="1" hidden="1" x14ac:dyDescent="0.2">
      <c r="A303" s="90"/>
      <c r="B303" s="90">
        <v>8</v>
      </c>
      <c r="C303" s="90"/>
      <c r="D303" s="90"/>
      <c r="E303" s="90"/>
      <c r="F303" s="90"/>
      <c r="G303" s="90"/>
      <c r="H303" s="90"/>
    </row>
    <row r="304" spans="1:8" s="20" customFormat="1" hidden="1" x14ac:dyDescent="0.2">
      <c r="A304" s="90"/>
      <c r="B304" s="90">
        <v>9</v>
      </c>
      <c r="C304" s="90"/>
      <c r="D304" s="90"/>
      <c r="E304" s="90"/>
      <c r="F304" s="90"/>
      <c r="G304" s="90"/>
      <c r="H304" s="90"/>
    </row>
    <row r="305" spans="1:8" s="20" customFormat="1" hidden="1" x14ac:dyDescent="0.2">
      <c r="A305" s="90"/>
      <c r="B305" s="90">
        <v>10</v>
      </c>
      <c r="C305" s="90"/>
      <c r="D305" s="90"/>
      <c r="E305" s="90"/>
      <c r="F305" s="90"/>
      <c r="G305" s="90"/>
      <c r="H305" s="90"/>
    </row>
    <row r="306" spans="1:8" s="20" customFormat="1" hidden="1" x14ac:dyDescent="0.2">
      <c r="A306" s="90"/>
      <c r="B306" s="90">
        <v>11</v>
      </c>
      <c r="C306" s="90"/>
      <c r="D306" s="90"/>
      <c r="E306" s="90"/>
      <c r="F306" s="90"/>
      <c r="G306" s="90"/>
      <c r="H306" s="90"/>
    </row>
    <row r="307" spans="1:8" s="20" customFormat="1" hidden="1" x14ac:dyDescent="0.2">
      <c r="A307" s="90"/>
      <c r="B307" s="90">
        <v>12</v>
      </c>
      <c r="C307" s="90"/>
      <c r="D307" s="90"/>
      <c r="E307" s="90"/>
      <c r="F307" s="90"/>
      <c r="G307" s="90"/>
      <c r="H307" s="90"/>
    </row>
    <row r="308" spans="1:8" s="20" customFormat="1" hidden="1" x14ac:dyDescent="0.2">
      <c r="A308" s="90"/>
      <c r="B308" s="90">
        <v>13</v>
      </c>
      <c r="C308" s="90"/>
      <c r="D308" s="90"/>
      <c r="E308" s="90"/>
      <c r="F308" s="90"/>
      <c r="G308" s="90"/>
      <c r="H308" s="90"/>
    </row>
    <row r="309" spans="1:8" s="20" customFormat="1" hidden="1" x14ac:dyDescent="0.2">
      <c r="A309" s="90"/>
      <c r="B309" s="90">
        <v>14</v>
      </c>
      <c r="C309" s="90"/>
      <c r="D309" s="90"/>
      <c r="E309" s="90"/>
      <c r="F309" s="90"/>
      <c r="G309" s="90"/>
      <c r="H309" s="90"/>
    </row>
    <row r="310" spans="1:8" s="20" customFormat="1" hidden="1" x14ac:dyDescent="0.2">
      <c r="A310" s="90"/>
      <c r="B310" s="90">
        <v>15</v>
      </c>
      <c r="C310" s="90"/>
      <c r="D310" s="90"/>
      <c r="E310" s="90"/>
      <c r="F310" s="90"/>
      <c r="G310" s="90"/>
      <c r="H310" s="90"/>
    </row>
    <row r="311" spans="1:8" s="20" customFormat="1" hidden="1" x14ac:dyDescent="0.2">
      <c r="A311" s="90"/>
      <c r="B311" s="90"/>
      <c r="C311" s="90"/>
      <c r="D311" s="90"/>
      <c r="E311" s="90"/>
      <c r="F311" s="90"/>
      <c r="G311" s="90"/>
      <c r="H311" s="90"/>
    </row>
    <row r="319" spans="1:8" x14ac:dyDescent="0.2"/>
  </sheetData>
  <sheetProtection algorithmName="SHA-512" hashValue="Nx1HQw3qoHpx/OVXwdS/JCQBK1VTTnQ0MDUnLC5tjI1Rcdv0dLcMycYcfY9B0USF+lo+dBy3cAFseiupOSW2KQ==" saltValue="nXGTNd+DZdWtY3JG5hl4yg==" spinCount="100000" sheet="1" objects="1" scenarios="1"/>
  <protectedRanges>
    <protectedRange sqref="C291" name="Bereik1_1_1"/>
  </protectedRanges>
  <sortState xmlns:xlrd2="http://schemas.microsoft.com/office/spreadsheetml/2017/richdata2" ref="D239:H287">
    <sortCondition ref="D239:D287"/>
  </sortState>
  <phoneticPr fontId="10" type="noConversion"/>
  <pageMargins left="0.75" right="0.75" top="1" bottom="1" header="0.5" footer="0.5"/>
  <pageSetup paperSize="9" scale="12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Blad3">
    <pageSetUpPr fitToPage="1"/>
  </sheetPr>
  <dimension ref="A1:M100"/>
  <sheetViews>
    <sheetView showGridLines="0" showRowColHeaders="0" zoomScaleNormal="100" zoomScaleSheetLayoutView="100" workbookViewId="0">
      <selection activeCell="B34" sqref="B34"/>
    </sheetView>
  </sheetViews>
  <sheetFormatPr defaultColWidth="0" defaultRowHeight="12.75" zeroHeight="1" x14ac:dyDescent="0.2"/>
  <cols>
    <col min="1" max="1" width="3.85546875" style="4" customWidth="1"/>
    <col min="2" max="2" width="20.42578125" style="4" customWidth="1"/>
    <col min="3" max="7" width="11.42578125" style="4" customWidth="1"/>
    <col min="8" max="8" width="3.28515625" style="4" customWidth="1"/>
    <col min="9" max="13" width="4.140625" style="4" hidden="1" customWidth="1"/>
    <col min="14" max="16384" width="0" style="4" hidden="1"/>
  </cols>
  <sheetData>
    <row r="1" spans="1:13" x14ac:dyDescent="0.2"/>
    <row r="2" spans="1:13" ht="24" customHeight="1" x14ac:dyDescent="0.2">
      <c r="A2" s="1"/>
      <c r="B2" s="208" t="str">
        <f>Inschrijving!Z2</f>
        <v>Groep A</v>
      </c>
      <c r="C2" s="2" t="str">
        <f>Inschrijving!AA2</f>
        <v>wedstrijden</v>
      </c>
      <c r="D2" s="2" t="str">
        <f>Inschrijving!AB2</f>
        <v>punten</v>
      </c>
      <c r="E2" s="2" t="str">
        <f>Inschrijving!AC2</f>
        <v>voor</v>
      </c>
      <c r="F2" s="2" t="str">
        <f>Inschrijving!AD2</f>
        <v>tegen</v>
      </c>
      <c r="G2" s="2" t="str">
        <f>Inschrijving!AE2</f>
        <v>doelsaldo</v>
      </c>
      <c r="H2" s="3"/>
      <c r="I2" s="3"/>
      <c r="J2" s="3"/>
      <c r="K2" s="3"/>
      <c r="L2" s="3"/>
      <c r="M2" s="3"/>
    </row>
    <row r="3" spans="1:13" x14ac:dyDescent="0.2">
      <c r="A3" s="5">
        <f>Inschrijving!Y3</f>
        <v>1</v>
      </c>
      <c r="B3" s="6" t="str">
        <f>Inschrijving!Z3</f>
        <v>Mexico</v>
      </c>
      <c r="C3" s="7">
        <f>Inschrijving!AA3</f>
        <v>0</v>
      </c>
      <c r="D3" s="7">
        <f>Inschrijving!AB3</f>
        <v>0</v>
      </c>
      <c r="E3" s="7">
        <f>Inschrijving!AC3</f>
        <v>0</v>
      </c>
      <c r="F3" s="7">
        <f>Inschrijving!AD3</f>
        <v>0</v>
      </c>
      <c r="G3" s="7">
        <f>Inschrijving!AE3</f>
        <v>0</v>
      </c>
      <c r="H3" s="8"/>
      <c r="I3" s="3"/>
      <c r="J3" s="3"/>
      <c r="K3" s="3"/>
      <c r="L3" s="3"/>
      <c r="M3" s="3"/>
    </row>
    <row r="4" spans="1:13" x14ac:dyDescent="0.2">
      <c r="A4" s="5">
        <f>Inschrijving!Y4</f>
        <v>2</v>
      </c>
      <c r="B4" s="6" t="str">
        <f>Inschrijving!Z4</f>
        <v>Zuid-Korea</v>
      </c>
      <c r="C4" s="7">
        <f>Inschrijving!AA4</f>
        <v>0</v>
      </c>
      <c r="D4" s="7">
        <f>Inschrijving!AB4</f>
        <v>0</v>
      </c>
      <c r="E4" s="7">
        <f>Inschrijving!AC4</f>
        <v>0</v>
      </c>
      <c r="F4" s="7">
        <f>Inschrijving!AD4</f>
        <v>0</v>
      </c>
      <c r="G4" s="7">
        <f>Inschrijving!AE4</f>
        <v>0</v>
      </c>
      <c r="H4" s="8"/>
      <c r="I4" s="3"/>
      <c r="J4" s="3"/>
      <c r="K4" s="3"/>
      <c r="L4" s="3"/>
      <c r="M4" s="3"/>
    </row>
    <row r="5" spans="1:13" x14ac:dyDescent="0.2">
      <c r="A5" s="5">
        <f>Inschrijving!Y5</f>
        <v>3</v>
      </c>
      <c r="B5" s="6" t="str">
        <f>Inschrijving!Z5</f>
        <v>Tsjechië</v>
      </c>
      <c r="C5" s="7">
        <f>Inschrijving!AA5</f>
        <v>0</v>
      </c>
      <c r="D5" s="7">
        <f>Inschrijving!AB5</f>
        <v>0</v>
      </c>
      <c r="E5" s="7">
        <f>Inschrijving!AC5</f>
        <v>0</v>
      </c>
      <c r="F5" s="7">
        <f>Inschrijving!AD5</f>
        <v>0</v>
      </c>
      <c r="G5" s="7">
        <f>Inschrijving!AE5</f>
        <v>0</v>
      </c>
      <c r="H5" s="8"/>
      <c r="I5" s="3"/>
      <c r="J5" s="3"/>
      <c r="K5" s="3"/>
      <c r="L5" s="3"/>
      <c r="M5" s="3"/>
    </row>
    <row r="6" spans="1:13" x14ac:dyDescent="0.2">
      <c r="A6" s="5">
        <f>Inschrijving!Y6</f>
        <v>4</v>
      </c>
      <c r="B6" s="6" t="str">
        <f>Inschrijving!Z6</f>
        <v>Zuid-Afrika</v>
      </c>
      <c r="C6" s="7">
        <f>Inschrijving!AA6</f>
        <v>0</v>
      </c>
      <c r="D6" s="7">
        <f>Inschrijving!AB6</f>
        <v>0</v>
      </c>
      <c r="E6" s="7">
        <f>Inschrijving!AC6</f>
        <v>0</v>
      </c>
      <c r="F6" s="7">
        <f>Inschrijving!AD6</f>
        <v>0</v>
      </c>
      <c r="G6" s="7">
        <f>Inschrijving!AE6</f>
        <v>0</v>
      </c>
      <c r="H6" s="8"/>
      <c r="I6" s="3"/>
      <c r="J6" s="3"/>
      <c r="K6" s="3"/>
      <c r="L6" s="3"/>
      <c r="M6" s="3"/>
    </row>
    <row r="7" spans="1:13" x14ac:dyDescent="0.2">
      <c r="B7" s="9"/>
      <c r="C7" s="3"/>
      <c r="D7" s="10"/>
      <c r="E7" s="3"/>
      <c r="F7" s="3"/>
      <c r="G7" s="3"/>
      <c r="H7" s="3"/>
      <c r="I7" s="3"/>
      <c r="J7" s="3"/>
      <c r="K7" s="3"/>
      <c r="L7" s="3"/>
      <c r="M7" s="3"/>
    </row>
    <row r="8" spans="1:13" ht="24" customHeight="1" x14ac:dyDescent="0.2">
      <c r="A8" s="1"/>
      <c r="B8" s="208" t="str">
        <f>Inschrijving!Z8</f>
        <v>Groep B</v>
      </c>
      <c r="C8" s="2" t="str">
        <f>Inschrijving!AA8</f>
        <v>wedstrijden</v>
      </c>
      <c r="D8" s="2" t="str">
        <f>Inschrijving!AB8</f>
        <v>punten</v>
      </c>
      <c r="E8" s="2" t="str">
        <f>Inschrijving!AC8</f>
        <v>voor</v>
      </c>
      <c r="F8" s="2" t="str">
        <f>Inschrijving!AD8</f>
        <v>tegen</v>
      </c>
      <c r="G8" s="2" t="str">
        <f>Inschrijving!AE8</f>
        <v>doelsaldo</v>
      </c>
      <c r="H8" s="3"/>
      <c r="I8" s="3"/>
      <c r="J8" s="3"/>
      <c r="K8" s="3"/>
      <c r="L8" s="3"/>
      <c r="M8" s="3"/>
    </row>
    <row r="9" spans="1:13" x14ac:dyDescent="0.2">
      <c r="A9" s="5">
        <f>Inschrijving!Y9</f>
        <v>1</v>
      </c>
      <c r="B9" s="6" t="str">
        <f>Inschrijving!Z9</f>
        <v>Zwitserland</v>
      </c>
      <c r="C9" s="7">
        <f>Inschrijving!AA9</f>
        <v>0</v>
      </c>
      <c r="D9" s="7">
        <f>Inschrijving!AB9</f>
        <v>0</v>
      </c>
      <c r="E9" s="7">
        <f>Inschrijving!AC9</f>
        <v>0</v>
      </c>
      <c r="F9" s="7">
        <f>Inschrijving!AD9</f>
        <v>0</v>
      </c>
      <c r="G9" s="7">
        <f>Inschrijving!AE9</f>
        <v>0</v>
      </c>
      <c r="H9" s="8"/>
      <c r="I9" s="3"/>
      <c r="J9" s="3"/>
      <c r="K9" s="3"/>
      <c r="L9" s="3"/>
      <c r="M9" s="3"/>
    </row>
    <row r="10" spans="1:13" x14ac:dyDescent="0.2">
      <c r="A10" s="5">
        <f>Inschrijving!Y10</f>
        <v>2</v>
      </c>
      <c r="B10" s="6" t="str">
        <f>Inschrijving!Z10</f>
        <v>Canada</v>
      </c>
      <c r="C10" s="7">
        <f>Inschrijving!AA10</f>
        <v>0</v>
      </c>
      <c r="D10" s="7">
        <f>Inschrijving!AB10</f>
        <v>0</v>
      </c>
      <c r="E10" s="7">
        <f>Inschrijving!AC10</f>
        <v>0</v>
      </c>
      <c r="F10" s="7">
        <f>Inschrijving!AD10</f>
        <v>0</v>
      </c>
      <c r="G10" s="7">
        <f>Inschrijving!AE10</f>
        <v>0</v>
      </c>
      <c r="H10" s="8"/>
      <c r="I10" s="3"/>
      <c r="J10" s="3"/>
      <c r="K10" s="3"/>
      <c r="L10" s="3"/>
      <c r="M10" s="3"/>
    </row>
    <row r="11" spans="1:13" x14ac:dyDescent="0.2">
      <c r="A11" s="5">
        <f>Inschrijving!Y11</f>
        <v>3</v>
      </c>
      <c r="B11" s="6" t="str">
        <f>Inschrijving!Z11</f>
        <v>Qatar</v>
      </c>
      <c r="C11" s="7">
        <f>Inschrijving!AA11</f>
        <v>0</v>
      </c>
      <c r="D11" s="7">
        <f>Inschrijving!AB11</f>
        <v>0</v>
      </c>
      <c r="E11" s="7">
        <f>Inschrijving!AC11</f>
        <v>0</v>
      </c>
      <c r="F11" s="7">
        <f>Inschrijving!AD11</f>
        <v>0</v>
      </c>
      <c r="G11" s="7">
        <f>Inschrijving!AE11</f>
        <v>0</v>
      </c>
      <c r="H11" s="8"/>
      <c r="I11" s="3"/>
      <c r="J11" s="3"/>
      <c r="K11" s="3"/>
      <c r="L11" s="3"/>
      <c r="M11" s="3"/>
    </row>
    <row r="12" spans="1:13" x14ac:dyDescent="0.2">
      <c r="A12" s="5">
        <f>Inschrijving!Y12</f>
        <v>4</v>
      </c>
      <c r="B12" s="6" t="str">
        <f>Inschrijving!Z12</f>
        <v>Bosnië-Herzegovina</v>
      </c>
      <c r="C12" s="7">
        <f>Inschrijving!AA12</f>
        <v>0</v>
      </c>
      <c r="D12" s="7">
        <f>Inschrijving!AB12</f>
        <v>0</v>
      </c>
      <c r="E12" s="7">
        <f>Inschrijving!AC12</f>
        <v>0</v>
      </c>
      <c r="F12" s="7">
        <f>Inschrijving!AD12</f>
        <v>0</v>
      </c>
      <c r="G12" s="7">
        <f>Inschrijving!AE12</f>
        <v>0</v>
      </c>
      <c r="H12" s="8"/>
      <c r="I12" s="3"/>
      <c r="J12" s="3"/>
      <c r="K12" s="3"/>
      <c r="L12" s="3"/>
      <c r="M12" s="3"/>
    </row>
    <row r="13" spans="1:13" x14ac:dyDescent="0.2">
      <c r="A13" s="3"/>
      <c r="B13" s="9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</row>
    <row r="14" spans="1:13" ht="24" customHeight="1" x14ac:dyDescent="0.2">
      <c r="A14" s="1"/>
      <c r="B14" s="208" t="str">
        <f>Inschrijving!Z14</f>
        <v>Groep C</v>
      </c>
      <c r="C14" s="2" t="str">
        <f>Inschrijving!AA14</f>
        <v>wedstrijden</v>
      </c>
      <c r="D14" s="2" t="str">
        <f>Inschrijving!AB14</f>
        <v>punten</v>
      </c>
      <c r="E14" s="2" t="str">
        <f>Inschrijving!AC14</f>
        <v>voor</v>
      </c>
      <c r="F14" s="2" t="str">
        <f>Inschrijving!AD14</f>
        <v>tegen</v>
      </c>
      <c r="G14" s="2" t="str">
        <f>Inschrijving!AE14</f>
        <v>doelsaldo</v>
      </c>
      <c r="H14" s="3"/>
      <c r="I14" s="3"/>
      <c r="J14" s="3"/>
      <c r="K14" s="3"/>
      <c r="L14" s="3"/>
      <c r="M14" s="3"/>
    </row>
    <row r="15" spans="1:13" x14ac:dyDescent="0.2">
      <c r="A15" s="5">
        <f>Inschrijving!Y15</f>
        <v>1</v>
      </c>
      <c r="B15" s="6" t="str">
        <f>Inschrijving!Z15</f>
        <v>Brazilië</v>
      </c>
      <c r="C15" s="7">
        <f>Inschrijving!AA15</f>
        <v>0</v>
      </c>
      <c r="D15" s="7">
        <f>Inschrijving!AB15</f>
        <v>0</v>
      </c>
      <c r="E15" s="7">
        <f>Inschrijving!AC15</f>
        <v>0</v>
      </c>
      <c r="F15" s="7">
        <f>Inschrijving!AD15</f>
        <v>0</v>
      </c>
      <c r="G15" s="7">
        <f>Inschrijving!AE15</f>
        <v>0</v>
      </c>
      <c r="H15" s="8"/>
      <c r="I15" s="3"/>
      <c r="J15" s="3"/>
      <c r="K15" s="3"/>
      <c r="L15" s="3"/>
      <c r="M15" s="3"/>
    </row>
    <row r="16" spans="1:13" x14ac:dyDescent="0.2">
      <c r="A16" s="5">
        <f>Inschrijving!Y16</f>
        <v>2</v>
      </c>
      <c r="B16" s="6" t="str">
        <f>Inschrijving!Z16</f>
        <v>Marokko</v>
      </c>
      <c r="C16" s="7">
        <f>Inschrijving!AA16</f>
        <v>0</v>
      </c>
      <c r="D16" s="7">
        <f>Inschrijving!AB16</f>
        <v>0</v>
      </c>
      <c r="E16" s="7">
        <f>Inschrijving!AC16</f>
        <v>0</v>
      </c>
      <c r="F16" s="7">
        <f>Inschrijving!AD16</f>
        <v>0</v>
      </c>
      <c r="G16" s="7">
        <f>Inschrijving!AE16</f>
        <v>0</v>
      </c>
      <c r="H16" s="8"/>
      <c r="I16" s="3"/>
      <c r="J16" s="3"/>
      <c r="K16" s="3"/>
      <c r="L16" s="3"/>
      <c r="M16" s="3"/>
    </row>
    <row r="17" spans="1:13" x14ac:dyDescent="0.2">
      <c r="A17" s="5">
        <f>Inschrijving!Y17</f>
        <v>3</v>
      </c>
      <c r="B17" s="6" t="str">
        <f>Inschrijving!Z17</f>
        <v>Schotland</v>
      </c>
      <c r="C17" s="7">
        <f>Inschrijving!AA17</f>
        <v>0</v>
      </c>
      <c r="D17" s="7">
        <f>Inschrijving!AB17</f>
        <v>0</v>
      </c>
      <c r="E17" s="7">
        <f>Inschrijving!AC17</f>
        <v>0</v>
      </c>
      <c r="F17" s="7">
        <f>Inschrijving!AD17</f>
        <v>0</v>
      </c>
      <c r="G17" s="7">
        <f>Inschrijving!AE17</f>
        <v>0</v>
      </c>
      <c r="H17" s="8"/>
      <c r="I17" s="3"/>
      <c r="J17" s="3"/>
      <c r="K17" s="3"/>
      <c r="L17" s="3"/>
      <c r="M17" s="3"/>
    </row>
    <row r="18" spans="1:13" x14ac:dyDescent="0.2">
      <c r="A18" s="5">
        <f>Inschrijving!Y18</f>
        <v>4</v>
      </c>
      <c r="B18" s="6" t="str">
        <f>Inschrijving!Z18</f>
        <v>Haïti</v>
      </c>
      <c r="C18" s="7">
        <f>Inschrijving!AA18</f>
        <v>0</v>
      </c>
      <c r="D18" s="7">
        <f>Inschrijving!AB18</f>
        <v>0</v>
      </c>
      <c r="E18" s="7">
        <f>Inschrijving!AC18</f>
        <v>0</v>
      </c>
      <c r="F18" s="7">
        <f>Inschrijving!AD18</f>
        <v>0</v>
      </c>
      <c r="G18" s="7">
        <f>Inschrijving!AE18</f>
        <v>0</v>
      </c>
      <c r="H18" s="8"/>
      <c r="I18" s="3"/>
      <c r="J18" s="3"/>
      <c r="K18" s="3"/>
      <c r="L18" s="3"/>
      <c r="M18" s="3"/>
    </row>
    <row r="19" spans="1:13" x14ac:dyDescent="0.2">
      <c r="B19" s="9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</row>
    <row r="20" spans="1:13" ht="24" customHeight="1" x14ac:dyDescent="0.2">
      <c r="A20" s="1"/>
      <c r="B20" s="208" t="str">
        <f>Inschrijving!Z20</f>
        <v>Groep D</v>
      </c>
      <c r="C20" s="2" t="str">
        <f>Inschrijving!AA20</f>
        <v>wedstrijden</v>
      </c>
      <c r="D20" s="2" t="str">
        <f>Inschrijving!AB20</f>
        <v>punten</v>
      </c>
      <c r="E20" s="2" t="str">
        <f>Inschrijving!AC20</f>
        <v>voor</v>
      </c>
      <c r="F20" s="2" t="str">
        <f>Inschrijving!AD20</f>
        <v>tegen</v>
      </c>
      <c r="G20" s="2" t="str">
        <f>Inschrijving!AE20</f>
        <v>doelsaldo</v>
      </c>
      <c r="H20" s="3"/>
      <c r="I20" s="3"/>
      <c r="J20" s="3"/>
      <c r="K20" s="3"/>
      <c r="L20" s="3"/>
      <c r="M20" s="3"/>
    </row>
    <row r="21" spans="1:13" x14ac:dyDescent="0.2">
      <c r="A21" s="5">
        <f>Inschrijving!Y21</f>
        <v>1</v>
      </c>
      <c r="B21" s="6" t="str">
        <f>Inschrijving!Z21</f>
        <v>Verenigde Staten</v>
      </c>
      <c r="C21" s="7">
        <f>Inschrijving!AA21</f>
        <v>0</v>
      </c>
      <c r="D21" s="7">
        <f>Inschrijving!AB21</f>
        <v>0</v>
      </c>
      <c r="E21" s="7">
        <f>Inschrijving!AC21</f>
        <v>0</v>
      </c>
      <c r="F21" s="7">
        <f>Inschrijving!AD21</f>
        <v>0</v>
      </c>
      <c r="G21" s="7">
        <f>Inschrijving!AE21</f>
        <v>0</v>
      </c>
      <c r="H21" s="8"/>
      <c r="I21" s="3"/>
      <c r="J21" s="3"/>
      <c r="K21" s="3"/>
      <c r="L21" s="3"/>
      <c r="M21" s="3"/>
    </row>
    <row r="22" spans="1:13" x14ac:dyDescent="0.2">
      <c r="A22" s="5">
        <f>Inschrijving!Y22</f>
        <v>2</v>
      </c>
      <c r="B22" s="6" t="str">
        <f>Inschrijving!Z22</f>
        <v>Turkije</v>
      </c>
      <c r="C22" s="7">
        <f>Inschrijving!AA22</f>
        <v>0</v>
      </c>
      <c r="D22" s="7">
        <f>Inschrijving!AB22</f>
        <v>0</v>
      </c>
      <c r="E22" s="7">
        <f>Inschrijving!AC22</f>
        <v>0</v>
      </c>
      <c r="F22" s="7">
        <f>Inschrijving!AD22</f>
        <v>0</v>
      </c>
      <c r="G22" s="7">
        <f>Inschrijving!AE22</f>
        <v>0</v>
      </c>
      <c r="H22" s="8"/>
      <c r="I22" s="3"/>
      <c r="J22" s="3"/>
      <c r="K22" s="3"/>
      <c r="L22" s="3"/>
      <c r="M22" s="3"/>
    </row>
    <row r="23" spans="1:13" x14ac:dyDescent="0.2">
      <c r="A23" s="5">
        <f>Inschrijving!Y23</f>
        <v>3</v>
      </c>
      <c r="B23" s="6" t="str">
        <f>Inschrijving!Z23</f>
        <v>Australië</v>
      </c>
      <c r="C23" s="7">
        <f>Inschrijving!AA23</f>
        <v>0</v>
      </c>
      <c r="D23" s="7">
        <f>Inschrijving!AB23</f>
        <v>0</v>
      </c>
      <c r="E23" s="7">
        <f>Inschrijving!AC23</f>
        <v>0</v>
      </c>
      <c r="F23" s="7">
        <f>Inschrijving!AD23</f>
        <v>0</v>
      </c>
      <c r="G23" s="7">
        <f>Inschrijving!AE23</f>
        <v>0</v>
      </c>
      <c r="H23" s="8"/>
      <c r="I23" s="3"/>
      <c r="J23" s="3"/>
      <c r="K23" s="3"/>
      <c r="L23" s="3"/>
      <c r="M23" s="3"/>
    </row>
    <row r="24" spans="1:13" x14ac:dyDescent="0.2">
      <c r="A24" s="5">
        <f>Inschrijving!Y24</f>
        <v>4</v>
      </c>
      <c r="B24" s="6" t="str">
        <f>Inschrijving!Z24</f>
        <v>Paraguay</v>
      </c>
      <c r="C24" s="7">
        <f>Inschrijving!AA24</f>
        <v>0</v>
      </c>
      <c r="D24" s="7">
        <f>Inschrijving!AB24</f>
        <v>0</v>
      </c>
      <c r="E24" s="7">
        <f>Inschrijving!AC24</f>
        <v>0</v>
      </c>
      <c r="F24" s="7">
        <f>Inschrijving!AD24</f>
        <v>0</v>
      </c>
      <c r="G24" s="7">
        <f>Inschrijving!AE24</f>
        <v>0</v>
      </c>
      <c r="H24" s="8"/>
      <c r="I24" s="3"/>
      <c r="J24" s="3"/>
      <c r="K24" s="3"/>
      <c r="L24" s="3"/>
      <c r="M24" s="3"/>
    </row>
    <row r="25" spans="1:13" x14ac:dyDescent="0.2">
      <c r="A25" s="3"/>
      <c r="B25" s="9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</row>
    <row r="26" spans="1:13" ht="24" customHeight="1" x14ac:dyDescent="0.2">
      <c r="A26" s="1"/>
      <c r="B26" s="208" t="str">
        <f>Inschrijving!Z26</f>
        <v>Groep E</v>
      </c>
      <c r="C26" s="2" t="str">
        <f>Inschrijving!AA26</f>
        <v>wedstrijden</v>
      </c>
      <c r="D26" s="2" t="str">
        <f>Inschrijving!AB26</f>
        <v>punten</v>
      </c>
      <c r="E26" s="2" t="str">
        <f>Inschrijving!AC26</f>
        <v>voor</v>
      </c>
      <c r="F26" s="2" t="str">
        <f>Inschrijving!AD26</f>
        <v>tegen</v>
      </c>
      <c r="G26" s="2" t="str">
        <f>Inschrijving!AE26</f>
        <v>doelsaldo</v>
      </c>
      <c r="H26" s="3"/>
      <c r="I26" s="3"/>
      <c r="J26" s="3"/>
      <c r="K26" s="3"/>
      <c r="L26" s="3"/>
      <c r="M26" s="3"/>
    </row>
    <row r="27" spans="1:13" x14ac:dyDescent="0.2">
      <c r="A27" s="5">
        <f>Inschrijving!Y27</f>
        <v>1</v>
      </c>
      <c r="B27" s="6" t="str">
        <f>Inschrijving!Z27</f>
        <v>Duitsland</v>
      </c>
      <c r="C27" s="7">
        <f>Inschrijving!AA27</f>
        <v>0</v>
      </c>
      <c r="D27" s="7">
        <f>Inschrijving!AB27</f>
        <v>0</v>
      </c>
      <c r="E27" s="7">
        <f>Inschrijving!AC27</f>
        <v>0</v>
      </c>
      <c r="F27" s="7">
        <f>Inschrijving!AD27</f>
        <v>0</v>
      </c>
      <c r="G27" s="7">
        <f>Inschrijving!AE27</f>
        <v>0</v>
      </c>
      <c r="H27" s="8"/>
      <c r="I27" s="3"/>
      <c r="J27" s="3"/>
      <c r="K27" s="3"/>
      <c r="L27" s="3"/>
      <c r="M27" s="3"/>
    </row>
    <row r="28" spans="1:13" x14ac:dyDescent="0.2">
      <c r="A28" s="5">
        <f>Inschrijving!Y28</f>
        <v>2</v>
      </c>
      <c r="B28" s="6" t="str">
        <f>Inschrijving!Z28</f>
        <v>Ecuador</v>
      </c>
      <c r="C28" s="7">
        <f>Inschrijving!AA28</f>
        <v>0</v>
      </c>
      <c r="D28" s="7">
        <f>Inschrijving!AB28</f>
        <v>0</v>
      </c>
      <c r="E28" s="7">
        <f>Inschrijving!AC28</f>
        <v>0</v>
      </c>
      <c r="F28" s="7">
        <f>Inschrijving!AD28</f>
        <v>0</v>
      </c>
      <c r="G28" s="7">
        <f>Inschrijving!AE28</f>
        <v>0</v>
      </c>
      <c r="H28" s="8"/>
      <c r="I28" s="3"/>
      <c r="J28" s="3"/>
      <c r="K28" s="3"/>
      <c r="L28" s="3"/>
      <c r="M28" s="3"/>
    </row>
    <row r="29" spans="1:13" x14ac:dyDescent="0.2">
      <c r="A29" s="5">
        <f>Inschrijving!Y29</f>
        <v>3</v>
      </c>
      <c r="B29" s="6" t="str">
        <f>Inschrijving!Z29</f>
        <v>Ivoorkust</v>
      </c>
      <c r="C29" s="7">
        <f>Inschrijving!AA29</f>
        <v>0</v>
      </c>
      <c r="D29" s="7">
        <f>Inschrijving!AB29</f>
        <v>0</v>
      </c>
      <c r="E29" s="7">
        <f>Inschrijving!AC29</f>
        <v>0</v>
      </c>
      <c r="F29" s="7">
        <f>Inschrijving!AD29</f>
        <v>0</v>
      </c>
      <c r="G29" s="7">
        <f>Inschrijving!AE29</f>
        <v>0</v>
      </c>
      <c r="H29" s="8"/>
      <c r="I29" s="3"/>
      <c r="J29" s="3"/>
      <c r="K29" s="3"/>
      <c r="L29" s="3"/>
      <c r="M29" s="3"/>
    </row>
    <row r="30" spans="1:13" x14ac:dyDescent="0.2">
      <c r="A30" s="5">
        <f>Inschrijving!Y30</f>
        <v>4</v>
      </c>
      <c r="B30" s="6" t="str">
        <f>Inschrijving!Z30</f>
        <v>Curaçao</v>
      </c>
      <c r="C30" s="7">
        <f>Inschrijving!AA30</f>
        <v>0</v>
      </c>
      <c r="D30" s="7">
        <f>Inschrijving!AB30</f>
        <v>0</v>
      </c>
      <c r="E30" s="7">
        <f>Inschrijving!AC30</f>
        <v>0</v>
      </c>
      <c r="F30" s="7">
        <f>Inschrijving!AD30</f>
        <v>0</v>
      </c>
      <c r="G30" s="7">
        <f>Inschrijving!AE30</f>
        <v>0</v>
      </c>
      <c r="H30" s="8"/>
      <c r="I30" s="3"/>
      <c r="J30" s="3"/>
      <c r="K30" s="3"/>
      <c r="L30" s="3"/>
      <c r="M30" s="3"/>
    </row>
    <row r="31" spans="1:13" x14ac:dyDescent="0.2">
      <c r="B31" s="9"/>
      <c r="C31" s="3"/>
      <c r="D31" s="10"/>
      <c r="E31" s="3"/>
      <c r="F31" s="3"/>
      <c r="G31" s="3"/>
      <c r="H31" s="3"/>
      <c r="I31" s="3"/>
      <c r="J31" s="3"/>
      <c r="K31" s="3"/>
      <c r="L31" s="3"/>
      <c r="M31" s="3"/>
    </row>
    <row r="32" spans="1:13" ht="24" customHeight="1" x14ac:dyDescent="0.2">
      <c r="A32" s="1"/>
      <c r="B32" s="208" t="str">
        <f>Inschrijving!Z32</f>
        <v>Groep F</v>
      </c>
      <c r="C32" s="2" t="str">
        <f>Inschrijving!AA32</f>
        <v>wedstrijden</v>
      </c>
      <c r="D32" s="2" t="str">
        <f>Inschrijving!AB32</f>
        <v>punten</v>
      </c>
      <c r="E32" s="2" t="str">
        <f>Inschrijving!AC32</f>
        <v>voor</v>
      </c>
      <c r="F32" s="2" t="str">
        <f>Inschrijving!AD32</f>
        <v>tegen</v>
      </c>
      <c r="G32" s="2" t="str">
        <f>Inschrijving!AE32</f>
        <v>doelsaldo</v>
      </c>
      <c r="H32" s="3"/>
      <c r="I32" s="3"/>
      <c r="J32" s="3"/>
      <c r="K32" s="3"/>
      <c r="L32" s="3"/>
      <c r="M32" s="3"/>
    </row>
    <row r="33" spans="1:13" x14ac:dyDescent="0.2">
      <c r="A33" s="5">
        <f>Inschrijving!Y33</f>
        <v>1</v>
      </c>
      <c r="B33" s="6" t="str">
        <f>Inschrijving!Z33</f>
        <v>Nederland</v>
      </c>
      <c r="C33" s="7">
        <f>Inschrijving!AA33</f>
        <v>0</v>
      </c>
      <c r="D33" s="7">
        <f>Inschrijving!AB33</f>
        <v>0</v>
      </c>
      <c r="E33" s="7">
        <f>Inschrijving!AC33</f>
        <v>0</v>
      </c>
      <c r="F33" s="7">
        <f>Inschrijving!AD33</f>
        <v>0</v>
      </c>
      <c r="G33" s="7">
        <f>Inschrijving!AE33</f>
        <v>0</v>
      </c>
      <c r="H33" s="8"/>
      <c r="I33" s="3"/>
      <c r="J33" s="3"/>
      <c r="K33" s="3"/>
      <c r="L33" s="3"/>
      <c r="M33" s="3"/>
    </row>
    <row r="34" spans="1:13" x14ac:dyDescent="0.2">
      <c r="A34" s="5">
        <f>Inschrijving!Y34</f>
        <v>2</v>
      </c>
      <c r="B34" s="6" t="str">
        <f>Inschrijving!Z34</f>
        <v>Japan</v>
      </c>
      <c r="C34" s="7">
        <f>Inschrijving!AA34</f>
        <v>0</v>
      </c>
      <c r="D34" s="7">
        <f>Inschrijving!AB34</f>
        <v>0</v>
      </c>
      <c r="E34" s="7">
        <f>Inschrijving!AC34</f>
        <v>0</v>
      </c>
      <c r="F34" s="7">
        <f>Inschrijving!AD34</f>
        <v>0</v>
      </c>
      <c r="G34" s="7">
        <f>Inschrijving!AE34</f>
        <v>0</v>
      </c>
      <c r="H34" s="8"/>
      <c r="I34" s="3"/>
      <c r="J34" s="3"/>
      <c r="K34" s="3"/>
      <c r="L34" s="3"/>
      <c r="M34" s="3"/>
    </row>
    <row r="35" spans="1:13" x14ac:dyDescent="0.2">
      <c r="A35" s="5">
        <f>Inschrijving!Y35</f>
        <v>3</v>
      </c>
      <c r="B35" s="6" t="str">
        <f>Inschrijving!Z35</f>
        <v>Zweden</v>
      </c>
      <c r="C35" s="7">
        <f>Inschrijving!AA35</f>
        <v>0</v>
      </c>
      <c r="D35" s="7">
        <f>Inschrijving!AB35</f>
        <v>0</v>
      </c>
      <c r="E35" s="7">
        <f>Inschrijving!AC35</f>
        <v>0</v>
      </c>
      <c r="F35" s="7">
        <f>Inschrijving!AD35</f>
        <v>0</v>
      </c>
      <c r="G35" s="7">
        <f>Inschrijving!AE35</f>
        <v>0</v>
      </c>
      <c r="H35" s="8"/>
      <c r="I35" s="3"/>
      <c r="J35" s="3"/>
      <c r="K35" s="3"/>
      <c r="L35" s="3"/>
      <c r="M35" s="3"/>
    </row>
    <row r="36" spans="1:13" x14ac:dyDescent="0.2">
      <c r="A36" s="5">
        <f>Inschrijving!Y36</f>
        <v>4</v>
      </c>
      <c r="B36" s="6" t="str">
        <f>Inschrijving!Z36</f>
        <v>Tunesië</v>
      </c>
      <c r="C36" s="7">
        <f>Inschrijving!AA36</f>
        <v>0</v>
      </c>
      <c r="D36" s="7">
        <f>Inschrijving!AB36</f>
        <v>0</v>
      </c>
      <c r="E36" s="7">
        <f>Inschrijving!AC36</f>
        <v>0</v>
      </c>
      <c r="F36" s="7">
        <f>Inschrijving!AD36</f>
        <v>0</v>
      </c>
      <c r="G36" s="7">
        <f>Inschrijving!AE36</f>
        <v>0</v>
      </c>
      <c r="H36" s="8"/>
      <c r="I36" s="3"/>
      <c r="J36" s="3"/>
      <c r="K36" s="3"/>
      <c r="L36" s="3"/>
      <c r="M36" s="3"/>
    </row>
    <row r="37" spans="1:13" x14ac:dyDescent="0.2">
      <c r="A37" s="3"/>
      <c r="B37" s="9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</row>
    <row r="38" spans="1:13" ht="24" customHeight="1" x14ac:dyDescent="0.2">
      <c r="A38" s="1"/>
      <c r="B38" s="208" t="str">
        <f>Inschrijving!Z38</f>
        <v>Groep G</v>
      </c>
      <c r="C38" s="2" t="str">
        <f>Inschrijving!AA38</f>
        <v>wedstrijden</v>
      </c>
      <c r="D38" s="2" t="str">
        <f>Inschrijving!AB38</f>
        <v>punten</v>
      </c>
      <c r="E38" s="2" t="str">
        <f>Inschrijving!AC38</f>
        <v>voor</v>
      </c>
      <c r="F38" s="2" t="str">
        <f>Inschrijving!AD38</f>
        <v>tegen</v>
      </c>
      <c r="G38" s="2" t="str">
        <f>Inschrijving!AE38</f>
        <v>doelsaldo</v>
      </c>
      <c r="H38" s="3"/>
      <c r="I38" s="3"/>
      <c r="J38" s="3"/>
      <c r="K38" s="3"/>
      <c r="L38" s="3"/>
      <c r="M38" s="3"/>
    </row>
    <row r="39" spans="1:13" x14ac:dyDescent="0.2">
      <c r="A39" s="5">
        <f>Inschrijving!Y39</f>
        <v>1</v>
      </c>
      <c r="B39" s="6" t="str">
        <f>Inschrijving!Z39</f>
        <v>België</v>
      </c>
      <c r="C39" s="7">
        <f>Inschrijving!AA39</f>
        <v>0</v>
      </c>
      <c r="D39" s="7">
        <f>Inschrijving!AB39</f>
        <v>0</v>
      </c>
      <c r="E39" s="7">
        <f>Inschrijving!AC39</f>
        <v>0</v>
      </c>
      <c r="F39" s="7">
        <f>Inschrijving!AD39</f>
        <v>0</v>
      </c>
      <c r="G39" s="7">
        <f>Inschrijving!AE39</f>
        <v>0</v>
      </c>
      <c r="H39" s="8"/>
      <c r="I39" s="3"/>
      <c r="J39" s="3"/>
      <c r="K39" s="3"/>
      <c r="L39" s="3"/>
      <c r="M39" s="3"/>
    </row>
    <row r="40" spans="1:13" x14ac:dyDescent="0.2">
      <c r="A40" s="5">
        <f>Inschrijving!Y40</f>
        <v>2</v>
      </c>
      <c r="B40" s="6" t="str">
        <f>Inschrijving!Z40</f>
        <v>Iran</v>
      </c>
      <c r="C40" s="7">
        <f>Inschrijving!AA40</f>
        <v>0</v>
      </c>
      <c r="D40" s="7">
        <f>Inschrijving!AB40</f>
        <v>0</v>
      </c>
      <c r="E40" s="7">
        <f>Inschrijving!AC40</f>
        <v>0</v>
      </c>
      <c r="F40" s="7">
        <f>Inschrijving!AD40</f>
        <v>0</v>
      </c>
      <c r="G40" s="7">
        <f>Inschrijving!AE40</f>
        <v>0</v>
      </c>
      <c r="H40" s="8"/>
      <c r="I40" s="3"/>
      <c r="J40" s="3"/>
      <c r="K40" s="3"/>
      <c r="L40" s="3"/>
      <c r="M40" s="3"/>
    </row>
    <row r="41" spans="1:13" x14ac:dyDescent="0.2">
      <c r="A41" s="5">
        <f>Inschrijving!Y41</f>
        <v>3</v>
      </c>
      <c r="B41" s="6" t="str">
        <f>Inschrijving!Z41</f>
        <v>Egypte</v>
      </c>
      <c r="C41" s="7">
        <f>Inschrijving!AA41</f>
        <v>0</v>
      </c>
      <c r="D41" s="7">
        <f>Inschrijving!AB41</f>
        <v>0</v>
      </c>
      <c r="E41" s="7">
        <f>Inschrijving!AC41</f>
        <v>0</v>
      </c>
      <c r="F41" s="7">
        <f>Inschrijving!AD41</f>
        <v>0</v>
      </c>
      <c r="G41" s="7">
        <f>Inschrijving!AE41</f>
        <v>0</v>
      </c>
      <c r="H41" s="8"/>
      <c r="I41" s="3"/>
      <c r="J41" s="3"/>
      <c r="K41" s="3"/>
      <c r="L41" s="3"/>
      <c r="M41" s="3"/>
    </row>
    <row r="42" spans="1:13" x14ac:dyDescent="0.2">
      <c r="A42" s="5">
        <f>Inschrijving!Y42</f>
        <v>4</v>
      </c>
      <c r="B42" s="6" t="str">
        <f>Inschrijving!Z42</f>
        <v>Nieuw-Zeeland</v>
      </c>
      <c r="C42" s="7">
        <f>Inschrijving!AA42</f>
        <v>0</v>
      </c>
      <c r="D42" s="7">
        <f>Inschrijving!AB42</f>
        <v>0</v>
      </c>
      <c r="E42" s="7">
        <f>Inschrijving!AC42</f>
        <v>0</v>
      </c>
      <c r="F42" s="7">
        <f>Inschrijving!AD42</f>
        <v>0</v>
      </c>
      <c r="G42" s="7">
        <f>Inschrijving!AE42</f>
        <v>0</v>
      </c>
      <c r="H42" s="8"/>
      <c r="I42" s="3"/>
      <c r="J42" s="3"/>
      <c r="K42" s="3"/>
      <c r="L42" s="3"/>
      <c r="M42" s="3"/>
    </row>
    <row r="43" spans="1:13" x14ac:dyDescent="0.2">
      <c r="B43" s="9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</row>
    <row r="44" spans="1:13" ht="24" customHeight="1" x14ac:dyDescent="0.2">
      <c r="A44" s="1"/>
      <c r="B44" s="208" t="str">
        <f>Inschrijving!Z44</f>
        <v>Groep H</v>
      </c>
      <c r="C44" s="2" t="str">
        <f>Inschrijving!AA44</f>
        <v>wedstrijden</v>
      </c>
      <c r="D44" s="2" t="str">
        <f>Inschrijving!AB44</f>
        <v>punten</v>
      </c>
      <c r="E44" s="2" t="str">
        <f>Inschrijving!AC44</f>
        <v>voor</v>
      </c>
      <c r="F44" s="2" t="str">
        <f>Inschrijving!AD44</f>
        <v>tegen</v>
      </c>
      <c r="G44" s="2" t="str">
        <f>Inschrijving!AE44</f>
        <v>doelsaldo</v>
      </c>
      <c r="H44" s="3"/>
      <c r="I44" s="3"/>
      <c r="J44" s="3"/>
      <c r="K44" s="3"/>
      <c r="L44" s="3"/>
      <c r="M44" s="3"/>
    </row>
    <row r="45" spans="1:13" x14ac:dyDescent="0.2">
      <c r="A45" s="5">
        <f>Inschrijving!Y45</f>
        <v>1</v>
      </c>
      <c r="B45" s="6" t="str">
        <f>Inschrijving!Z45</f>
        <v>Spanje</v>
      </c>
      <c r="C45" s="7">
        <f>Inschrijving!AA45</f>
        <v>0</v>
      </c>
      <c r="D45" s="7">
        <f>Inschrijving!AB45</f>
        <v>0</v>
      </c>
      <c r="E45" s="7">
        <f>Inschrijving!AC45</f>
        <v>0</v>
      </c>
      <c r="F45" s="7">
        <f>Inschrijving!AD45</f>
        <v>0</v>
      </c>
      <c r="G45" s="7">
        <f>Inschrijving!AE45</f>
        <v>0</v>
      </c>
      <c r="H45" s="8"/>
      <c r="I45" s="3"/>
      <c r="J45" s="3"/>
      <c r="K45" s="3"/>
      <c r="L45" s="3"/>
      <c r="M45" s="3"/>
    </row>
    <row r="46" spans="1:13" x14ac:dyDescent="0.2">
      <c r="A46" s="5">
        <f>Inschrijving!Y46</f>
        <v>2</v>
      </c>
      <c r="B46" s="6" t="str">
        <f>Inschrijving!Z46</f>
        <v>Uruguay</v>
      </c>
      <c r="C46" s="7">
        <f>Inschrijving!AA46</f>
        <v>0</v>
      </c>
      <c r="D46" s="7">
        <f>Inschrijving!AB46</f>
        <v>0</v>
      </c>
      <c r="E46" s="7">
        <f>Inschrijving!AC46</f>
        <v>0</v>
      </c>
      <c r="F46" s="7">
        <f>Inschrijving!AD46</f>
        <v>0</v>
      </c>
      <c r="G46" s="7">
        <f>Inschrijving!AE46</f>
        <v>0</v>
      </c>
      <c r="H46" s="8"/>
      <c r="I46" s="3"/>
      <c r="J46" s="3"/>
      <c r="K46" s="3"/>
      <c r="L46" s="3"/>
      <c r="M46" s="3"/>
    </row>
    <row r="47" spans="1:13" x14ac:dyDescent="0.2">
      <c r="A47" s="5">
        <f>Inschrijving!Y47</f>
        <v>3</v>
      </c>
      <c r="B47" s="6" t="str">
        <f>Inschrijving!Z47</f>
        <v>Saoedi-Arabië</v>
      </c>
      <c r="C47" s="7">
        <f>Inschrijving!AA47</f>
        <v>0</v>
      </c>
      <c r="D47" s="7">
        <f>Inschrijving!AB47</f>
        <v>0</v>
      </c>
      <c r="E47" s="7">
        <f>Inschrijving!AC47</f>
        <v>0</v>
      </c>
      <c r="F47" s="7">
        <f>Inschrijving!AD47</f>
        <v>0</v>
      </c>
      <c r="G47" s="7">
        <f>Inschrijving!AE47</f>
        <v>0</v>
      </c>
      <c r="H47" s="8"/>
      <c r="I47" s="3"/>
      <c r="J47" s="3"/>
      <c r="K47" s="3"/>
      <c r="L47" s="3"/>
      <c r="M47" s="3"/>
    </row>
    <row r="48" spans="1:13" x14ac:dyDescent="0.2">
      <c r="A48" s="5">
        <f>Inschrijving!Y48</f>
        <v>4</v>
      </c>
      <c r="B48" s="6" t="str">
        <f>Inschrijving!Z48</f>
        <v>Kaapverdië</v>
      </c>
      <c r="C48" s="7">
        <f>Inschrijving!AA48</f>
        <v>0</v>
      </c>
      <c r="D48" s="7">
        <f>Inschrijving!AB48</f>
        <v>0</v>
      </c>
      <c r="E48" s="7">
        <f>Inschrijving!AC48</f>
        <v>0</v>
      </c>
      <c r="F48" s="7">
        <f>Inschrijving!AD48</f>
        <v>0</v>
      </c>
      <c r="G48" s="7">
        <f>Inschrijving!AE48</f>
        <v>0</v>
      </c>
      <c r="H48" s="8"/>
      <c r="I48" s="3"/>
      <c r="J48" s="3"/>
      <c r="K48" s="3"/>
      <c r="L48" s="3"/>
      <c r="M48" s="3"/>
    </row>
    <row r="49" spans="1:13" x14ac:dyDescent="0.2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</row>
    <row r="50" spans="1:13" ht="23.25" customHeight="1" x14ac:dyDescent="0.2">
      <c r="A50" s="1"/>
      <c r="B50" s="208" t="str">
        <f>Inschrijving!Z50</f>
        <v>Groep I</v>
      </c>
      <c r="C50" s="2" t="str">
        <f>Inschrijving!AA50</f>
        <v>wedstrijden</v>
      </c>
      <c r="D50" s="2" t="str">
        <f>Inschrijving!AB50</f>
        <v>punten</v>
      </c>
      <c r="E50" s="2" t="str">
        <f>Inschrijving!AC50</f>
        <v>voor</v>
      </c>
      <c r="F50" s="2" t="str">
        <f>Inschrijving!AD50</f>
        <v>tegen</v>
      </c>
      <c r="G50" s="2" t="str">
        <f>Inschrijving!AE50</f>
        <v>doelsaldo</v>
      </c>
      <c r="H50" s="3"/>
      <c r="I50" s="3"/>
      <c r="J50" s="3"/>
      <c r="K50" s="3"/>
      <c r="L50" s="3"/>
      <c r="M50" s="3"/>
    </row>
    <row r="51" spans="1:13" x14ac:dyDescent="0.2">
      <c r="A51" s="5">
        <f>Inschrijving!Y51</f>
        <v>1</v>
      </c>
      <c r="B51" s="6" t="str">
        <f>Inschrijving!Z51</f>
        <v>Frankrijk</v>
      </c>
      <c r="C51" s="7">
        <f>Inschrijving!AA51</f>
        <v>0</v>
      </c>
      <c r="D51" s="7">
        <f>Inschrijving!AB51</f>
        <v>0</v>
      </c>
      <c r="E51" s="7">
        <f>Inschrijving!AC51</f>
        <v>0</v>
      </c>
      <c r="F51" s="7">
        <f>Inschrijving!AD51</f>
        <v>0</v>
      </c>
      <c r="G51" s="7">
        <f>Inschrijving!AE51</f>
        <v>0</v>
      </c>
      <c r="H51" s="3"/>
      <c r="I51" s="3"/>
      <c r="J51" s="3"/>
      <c r="K51" s="3"/>
      <c r="L51" s="3"/>
      <c r="M51" s="3"/>
    </row>
    <row r="52" spans="1:13" x14ac:dyDescent="0.2">
      <c r="A52" s="5">
        <f>Inschrijving!Y52</f>
        <v>2</v>
      </c>
      <c r="B52" s="6" t="str">
        <f>Inschrijving!Z52</f>
        <v>Senegal</v>
      </c>
      <c r="C52" s="7">
        <f>Inschrijving!AA52</f>
        <v>0</v>
      </c>
      <c r="D52" s="7">
        <f>Inschrijving!AB52</f>
        <v>0</v>
      </c>
      <c r="E52" s="7">
        <f>Inschrijving!AC52</f>
        <v>0</v>
      </c>
      <c r="F52" s="7">
        <f>Inschrijving!AD52</f>
        <v>0</v>
      </c>
      <c r="G52" s="7">
        <f>Inschrijving!AE52</f>
        <v>0</v>
      </c>
      <c r="H52" s="3"/>
      <c r="I52" s="3"/>
      <c r="J52" s="3"/>
      <c r="K52" s="3"/>
      <c r="L52" s="3"/>
      <c r="M52" s="3"/>
    </row>
    <row r="53" spans="1:13" x14ac:dyDescent="0.2">
      <c r="A53" s="5">
        <f>Inschrijving!Y53</f>
        <v>3</v>
      </c>
      <c r="B53" s="6" t="str">
        <f>Inschrijving!Z53</f>
        <v>Noorwegen</v>
      </c>
      <c r="C53" s="7">
        <f>Inschrijving!AA53</f>
        <v>0</v>
      </c>
      <c r="D53" s="7">
        <f>Inschrijving!AB53</f>
        <v>0</v>
      </c>
      <c r="E53" s="7">
        <f>Inschrijving!AC53</f>
        <v>0</v>
      </c>
      <c r="F53" s="7">
        <f>Inschrijving!AD53</f>
        <v>0</v>
      </c>
      <c r="G53" s="7">
        <f>Inschrijving!AE53</f>
        <v>0</v>
      </c>
      <c r="H53" s="3"/>
      <c r="I53" s="3"/>
      <c r="J53" s="3"/>
      <c r="K53" s="3"/>
      <c r="L53" s="3"/>
      <c r="M53" s="3"/>
    </row>
    <row r="54" spans="1:13" x14ac:dyDescent="0.2">
      <c r="A54" s="5">
        <f>Inschrijving!Y54</f>
        <v>4</v>
      </c>
      <c r="B54" s="6" t="str">
        <f>Inschrijving!Z54</f>
        <v>Irak</v>
      </c>
      <c r="C54" s="7">
        <f>Inschrijving!AA54</f>
        <v>0</v>
      </c>
      <c r="D54" s="7">
        <f>Inschrijving!AB54</f>
        <v>0</v>
      </c>
      <c r="E54" s="7">
        <f>Inschrijving!AC54</f>
        <v>0</v>
      </c>
      <c r="F54" s="7">
        <f>Inschrijving!AD54</f>
        <v>0</v>
      </c>
      <c r="G54" s="7">
        <f>Inschrijving!AE54</f>
        <v>0</v>
      </c>
    </row>
    <row r="55" spans="1:13" x14ac:dyDescent="0.2">
      <c r="B55" s="9"/>
      <c r="C55" s="3"/>
      <c r="D55" s="10"/>
      <c r="E55" s="3"/>
      <c r="F55" s="3"/>
      <c r="G55" s="3"/>
    </row>
    <row r="56" spans="1:13" ht="23.25" customHeight="1" x14ac:dyDescent="0.2">
      <c r="A56" s="1"/>
      <c r="B56" s="208" t="str">
        <f>Inschrijving!Z56</f>
        <v>Groep J</v>
      </c>
      <c r="C56" s="2" t="str">
        <f>Inschrijving!AA56</f>
        <v>wedstrijden</v>
      </c>
      <c r="D56" s="2" t="str">
        <f>Inschrijving!AB56</f>
        <v>punten</v>
      </c>
      <c r="E56" s="2" t="str">
        <f>Inschrijving!AC56</f>
        <v>voor</v>
      </c>
      <c r="F56" s="2" t="str">
        <f>Inschrijving!AD56</f>
        <v>tegen</v>
      </c>
      <c r="G56" s="2" t="str">
        <f>Inschrijving!AE56</f>
        <v>doelsaldo</v>
      </c>
    </row>
    <row r="57" spans="1:13" x14ac:dyDescent="0.2">
      <c r="A57" s="5">
        <f>Inschrijving!Y57</f>
        <v>1</v>
      </c>
      <c r="B57" s="6" t="str">
        <f>Inschrijving!Z57</f>
        <v>Argentinië</v>
      </c>
      <c r="C57" s="7">
        <f>Inschrijving!AA57</f>
        <v>0</v>
      </c>
      <c r="D57" s="7">
        <f>Inschrijving!AB57</f>
        <v>0</v>
      </c>
      <c r="E57" s="7">
        <f>Inschrijving!AC57</f>
        <v>0</v>
      </c>
      <c r="F57" s="7">
        <f>Inschrijving!AD57</f>
        <v>0</v>
      </c>
      <c r="G57" s="7">
        <f>Inschrijving!AE57</f>
        <v>0</v>
      </c>
    </row>
    <row r="58" spans="1:13" x14ac:dyDescent="0.2">
      <c r="A58" s="5">
        <f>Inschrijving!Y58</f>
        <v>2</v>
      </c>
      <c r="B58" s="6" t="str">
        <f>Inschrijving!Z58</f>
        <v>Oostenrijk</v>
      </c>
      <c r="C58" s="7">
        <f>Inschrijving!AA58</f>
        <v>0</v>
      </c>
      <c r="D58" s="7">
        <f>Inschrijving!AB58</f>
        <v>0</v>
      </c>
      <c r="E58" s="7">
        <f>Inschrijving!AC58</f>
        <v>0</v>
      </c>
      <c r="F58" s="7">
        <f>Inschrijving!AD58</f>
        <v>0</v>
      </c>
      <c r="G58" s="7">
        <f>Inschrijving!AE58</f>
        <v>0</v>
      </c>
    </row>
    <row r="59" spans="1:13" x14ac:dyDescent="0.2">
      <c r="A59" s="5">
        <f>Inschrijving!Y59</f>
        <v>3</v>
      </c>
      <c r="B59" s="6" t="str">
        <f>Inschrijving!Z59</f>
        <v>Algerije</v>
      </c>
      <c r="C59" s="7">
        <f>Inschrijving!AA59</f>
        <v>0</v>
      </c>
      <c r="D59" s="7">
        <f>Inschrijving!AB59</f>
        <v>0</v>
      </c>
      <c r="E59" s="7">
        <f>Inschrijving!AC59</f>
        <v>0</v>
      </c>
      <c r="F59" s="7">
        <f>Inschrijving!AD59</f>
        <v>0</v>
      </c>
      <c r="G59" s="7">
        <f>Inschrijving!AE59</f>
        <v>0</v>
      </c>
    </row>
    <row r="60" spans="1:13" x14ac:dyDescent="0.2">
      <c r="A60" s="5">
        <f>Inschrijving!Y60</f>
        <v>4</v>
      </c>
      <c r="B60" s="6" t="str">
        <f>Inschrijving!Z60</f>
        <v>Jordanië</v>
      </c>
      <c r="C60" s="7">
        <f>Inschrijving!AA60</f>
        <v>0</v>
      </c>
      <c r="D60" s="7">
        <f>Inschrijving!AB60</f>
        <v>0</v>
      </c>
      <c r="E60" s="7">
        <f>Inschrijving!AC60</f>
        <v>0</v>
      </c>
      <c r="F60" s="7">
        <f>Inschrijving!AD60</f>
        <v>0</v>
      </c>
      <c r="G60" s="7">
        <f>Inschrijving!AE60</f>
        <v>0</v>
      </c>
    </row>
    <row r="61" spans="1:13" x14ac:dyDescent="0.2">
      <c r="A61" s="3"/>
      <c r="B61" s="9"/>
      <c r="C61" s="3"/>
      <c r="D61" s="3"/>
      <c r="E61" s="3"/>
      <c r="F61" s="3"/>
      <c r="G61" s="3"/>
    </row>
    <row r="62" spans="1:13" ht="23.25" customHeight="1" x14ac:dyDescent="0.2">
      <c r="A62" s="1"/>
      <c r="B62" s="208" t="str">
        <f>Inschrijving!Z62</f>
        <v>Groep K</v>
      </c>
      <c r="C62" s="2" t="str">
        <f>Inschrijving!AA62</f>
        <v>wedstrijden</v>
      </c>
      <c r="D62" s="2" t="str">
        <f>Inschrijving!AB62</f>
        <v>punten</v>
      </c>
      <c r="E62" s="2" t="str">
        <f>Inschrijving!AC62</f>
        <v>voor</v>
      </c>
      <c r="F62" s="2" t="str">
        <f>Inschrijving!AD62</f>
        <v>tegen</v>
      </c>
      <c r="G62" s="2" t="str">
        <f>Inschrijving!AE62</f>
        <v>doelsaldo</v>
      </c>
    </row>
    <row r="63" spans="1:13" x14ac:dyDescent="0.2">
      <c r="A63" s="5">
        <f>Inschrijving!Y63</f>
        <v>1</v>
      </c>
      <c r="B63" s="6" t="str">
        <f>Inschrijving!Z63</f>
        <v>Portugal</v>
      </c>
      <c r="C63" s="7">
        <f>Inschrijving!AA63</f>
        <v>0</v>
      </c>
      <c r="D63" s="7">
        <f>Inschrijving!AB63</f>
        <v>0</v>
      </c>
      <c r="E63" s="7">
        <f>Inschrijving!AC63</f>
        <v>0</v>
      </c>
      <c r="F63" s="7">
        <f>Inschrijving!AD63</f>
        <v>0</v>
      </c>
      <c r="G63" s="7">
        <f>Inschrijving!AE63</f>
        <v>0</v>
      </c>
    </row>
    <row r="64" spans="1:13" x14ac:dyDescent="0.2">
      <c r="A64" s="5">
        <f>Inschrijving!Y64</f>
        <v>2</v>
      </c>
      <c r="B64" s="6" t="str">
        <f>Inschrijving!Z64</f>
        <v>Colombia</v>
      </c>
      <c r="C64" s="7">
        <f>Inschrijving!AA64</f>
        <v>0</v>
      </c>
      <c r="D64" s="7">
        <f>Inschrijving!AB64</f>
        <v>0</v>
      </c>
      <c r="E64" s="7">
        <f>Inschrijving!AC64</f>
        <v>0</v>
      </c>
      <c r="F64" s="7">
        <f>Inschrijving!AD64</f>
        <v>0</v>
      </c>
      <c r="G64" s="7">
        <f>Inschrijving!AE64</f>
        <v>0</v>
      </c>
    </row>
    <row r="65" spans="1:7" x14ac:dyDescent="0.2">
      <c r="A65" s="5">
        <f>Inschrijving!Y65</f>
        <v>3</v>
      </c>
      <c r="B65" s="6" t="str">
        <f>Inschrijving!Z65</f>
        <v>Congo</v>
      </c>
      <c r="C65" s="7">
        <f>Inschrijving!AA65</f>
        <v>0</v>
      </c>
      <c r="D65" s="7">
        <f>Inschrijving!AB65</f>
        <v>0</v>
      </c>
      <c r="E65" s="7">
        <f>Inschrijving!AC65</f>
        <v>0</v>
      </c>
      <c r="F65" s="7">
        <f>Inschrijving!AD65</f>
        <v>0</v>
      </c>
      <c r="G65" s="7">
        <f>Inschrijving!AE65</f>
        <v>0</v>
      </c>
    </row>
    <row r="66" spans="1:7" x14ac:dyDescent="0.2">
      <c r="A66" s="5">
        <f>Inschrijving!Y66</f>
        <v>4</v>
      </c>
      <c r="B66" s="6" t="str">
        <f>Inschrijving!Z66</f>
        <v>Oezbekistan</v>
      </c>
      <c r="C66" s="7">
        <f>Inschrijving!AA66</f>
        <v>0</v>
      </c>
      <c r="D66" s="7">
        <f>Inschrijving!AB66</f>
        <v>0</v>
      </c>
      <c r="E66" s="7">
        <f>Inschrijving!AC66</f>
        <v>0</v>
      </c>
      <c r="F66" s="7">
        <f>Inschrijving!AD66</f>
        <v>0</v>
      </c>
      <c r="G66" s="7">
        <f>Inschrijving!AE66</f>
        <v>0</v>
      </c>
    </row>
    <row r="67" spans="1:7" x14ac:dyDescent="0.2">
      <c r="B67" s="9"/>
      <c r="C67" s="3"/>
      <c r="D67" s="3"/>
      <c r="E67" s="3"/>
      <c r="F67" s="3"/>
      <c r="G67" s="3"/>
    </row>
    <row r="68" spans="1:7" ht="23.25" customHeight="1" x14ac:dyDescent="0.2">
      <c r="A68" s="1"/>
      <c r="B68" s="208" t="str">
        <f>Inschrijving!Z68</f>
        <v>Groep L</v>
      </c>
      <c r="C68" s="2" t="str">
        <f>Inschrijving!AA68</f>
        <v>wedstrijden</v>
      </c>
      <c r="D68" s="2" t="str">
        <f>Inschrijving!AB68</f>
        <v>punten</v>
      </c>
      <c r="E68" s="2" t="str">
        <f>Inschrijving!AC68</f>
        <v>voor</v>
      </c>
      <c r="F68" s="2" t="str">
        <f>Inschrijving!AD68</f>
        <v>tegen</v>
      </c>
      <c r="G68" s="2" t="str">
        <f>Inschrijving!AE68</f>
        <v>doelsaldo</v>
      </c>
    </row>
    <row r="69" spans="1:7" x14ac:dyDescent="0.2">
      <c r="A69" s="5">
        <f>Inschrijving!Y69</f>
        <v>1</v>
      </c>
      <c r="B69" s="6" t="str">
        <f>Inschrijving!Z69</f>
        <v>Engeland</v>
      </c>
      <c r="C69" s="7">
        <f>Inschrijving!AA69</f>
        <v>0</v>
      </c>
      <c r="D69" s="7">
        <f>Inschrijving!AB69</f>
        <v>0</v>
      </c>
      <c r="E69" s="7">
        <f>Inschrijving!AC69</f>
        <v>0</v>
      </c>
      <c r="F69" s="7">
        <f>Inschrijving!AD69</f>
        <v>0</v>
      </c>
      <c r="G69" s="7">
        <f>Inschrijving!AE69</f>
        <v>0</v>
      </c>
    </row>
    <row r="70" spans="1:7" x14ac:dyDescent="0.2">
      <c r="A70" s="5">
        <f>Inschrijving!Y70</f>
        <v>2</v>
      </c>
      <c r="B70" s="6" t="str">
        <f>Inschrijving!Z70</f>
        <v>Kroatië</v>
      </c>
      <c r="C70" s="7">
        <f>Inschrijving!AA70</f>
        <v>0</v>
      </c>
      <c r="D70" s="7">
        <f>Inschrijving!AB70</f>
        <v>0</v>
      </c>
      <c r="E70" s="7">
        <f>Inschrijving!AC70</f>
        <v>0</v>
      </c>
      <c r="F70" s="7">
        <f>Inschrijving!AD70</f>
        <v>0</v>
      </c>
      <c r="G70" s="7">
        <f>Inschrijving!AE70</f>
        <v>0</v>
      </c>
    </row>
    <row r="71" spans="1:7" x14ac:dyDescent="0.2">
      <c r="A71" s="5">
        <f>Inschrijving!Y71</f>
        <v>3</v>
      </c>
      <c r="B71" s="6" t="str">
        <f>Inschrijving!Z71</f>
        <v>Panama</v>
      </c>
      <c r="C71" s="7">
        <f>Inschrijving!AA71</f>
        <v>0</v>
      </c>
      <c r="D71" s="7">
        <f>Inschrijving!AB71</f>
        <v>0</v>
      </c>
      <c r="E71" s="7">
        <f>Inschrijving!AC71</f>
        <v>0</v>
      </c>
      <c r="F71" s="7">
        <f>Inschrijving!AD71</f>
        <v>0</v>
      </c>
      <c r="G71" s="7">
        <f>Inschrijving!AE71</f>
        <v>0</v>
      </c>
    </row>
    <row r="72" spans="1:7" x14ac:dyDescent="0.2">
      <c r="A72" s="5">
        <f>Inschrijving!Y72</f>
        <v>4</v>
      </c>
      <c r="B72" s="6" t="str">
        <f>Inschrijving!Z72</f>
        <v>Ghana</v>
      </c>
      <c r="C72" s="7">
        <f>Inschrijving!AA72</f>
        <v>0</v>
      </c>
      <c r="D72" s="7">
        <f>Inschrijving!AB72</f>
        <v>0</v>
      </c>
      <c r="E72" s="7">
        <f>Inschrijving!AC72</f>
        <v>0</v>
      </c>
      <c r="F72" s="7">
        <f>Inschrijving!AD72</f>
        <v>0</v>
      </c>
      <c r="G72" s="7">
        <f>Inschrijving!AE72</f>
        <v>0</v>
      </c>
    </row>
    <row r="73" spans="1:7" hidden="1" x14ac:dyDescent="0.2">
      <c r="A73" s="3"/>
      <c r="B73" s="3"/>
      <c r="C73" s="3"/>
      <c r="D73" s="3"/>
      <c r="E73" s="3"/>
      <c r="F73" s="3"/>
      <c r="G73" s="3"/>
    </row>
    <row r="100" ht="15" customHeight="1" x14ac:dyDescent="0.2"/>
  </sheetData>
  <sheetProtection algorithmName="SHA-512" hashValue="k4rtILJG06zdT7p6+LeM/KhfyYBIr50895zxNO1Yw588xKMndNMZoHF5bOGvkagf83Iv623I+dpE9k/bSOrzoQ==" saltValue="oqikFO8Ni+VjQXB9uvmlLw==" spinCount="100000" sheet="1" objects="1" scenarios="1"/>
  <phoneticPr fontId="10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Blad4">
    <pageSetUpPr fitToPage="1"/>
  </sheetPr>
  <dimension ref="A1:I65622"/>
  <sheetViews>
    <sheetView showGridLines="0" showRowColHeaders="0" zoomScaleNormal="100" workbookViewId="0">
      <selection activeCell="H253" sqref="E1:H253"/>
    </sheetView>
  </sheetViews>
  <sheetFormatPr defaultColWidth="0" defaultRowHeight="12.75" zeroHeight="1" x14ac:dyDescent="0.2"/>
  <cols>
    <col min="1" max="1" width="3.5703125" bestFit="1" customWidth="1"/>
    <col min="2" max="2" width="17.42578125" customWidth="1"/>
    <col min="3" max="3" width="2.140625" bestFit="1" customWidth="1"/>
    <col min="4" max="4" width="17.42578125" customWidth="1"/>
    <col min="5" max="5" width="9.140625" customWidth="1"/>
    <col min="6" max="6" width="4.7109375" customWidth="1"/>
    <col min="7" max="7" width="9.140625" customWidth="1"/>
    <col min="8" max="8" width="9.28515625" customWidth="1"/>
    <col min="9" max="9" width="5.42578125" bestFit="1" customWidth="1"/>
    <col min="10" max="16384" width="9.140625" hidden="1"/>
  </cols>
  <sheetData>
    <row r="1" spans="1:9" ht="15.75" x14ac:dyDescent="0.2">
      <c r="A1" s="50"/>
      <c r="B1" s="198" t="str">
        <f>Inschrijving!B1</f>
        <v>WK 2026 Voetbalpool</v>
      </c>
      <c r="C1" s="199"/>
      <c r="D1" s="200" t="str">
        <f>Inschrijving!F1</f>
        <v/>
      </c>
      <c r="E1" s="201" t="str">
        <f>Inschrijving!G1</f>
        <v/>
      </c>
      <c r="F1" s="202"/>
      <c r="G1" s="202"/>
      <c r="H1" s="203"/>
      <c r="I1" s="50"/>
    </row>
    <row r="2" spans="1:9" x14ac:dyDescent="0.2">
      <c r="A2" s="43"/>
      <c r="B2" s="102"/>
      <c r="C2" s="102"/>
      <c r="D2" s="102" t="s">
        <v>114</v>
      </c>
      <c r="E2" s="44" t="str">
        <f>CONCATENATE(Inschrijving!N11," ",Inschrijving!N12," ",MID(Inschrijving!N13,1,1),".")</f>
        <v xml:space="preserve">  .</v>
      </c>
      <c r="F2" s="44"/>
      <c r="G2" s="44"/>
      <c r="H2" s="44"/>
      <c r="I2" s="43"/>
    </row>
    <row r="3" spans="1:9" x14ac:dyDescent="0.2">
      <c r="A3" s="43"/>
      <c r="B3" s="103" t="str">
        <f>Inschrijving!B3</f>
        <v>Groep A</v>
      </c>
      <c r="C3" s="59"/>
      <c r="D3" s="104"/>
      <c r="E3" s="21" t="str">
        <f>Inschrijving!H3</f>
        <v>Uitslag</v>
      </c>
      <c r="F3" s="21"/>
      <c r="G3" s="21"/>
      <c r="H3" s="22" t="str">
        <f>Inschrijving!J3</f>
        <v>Toto</v>
      </c>
      <c r="I3" s="43" t="s">
        <v>69</v>
      </c>
    </row>
    <row r="4" spans="1:9" x14ac:dyDescent="0.2">
      <c r="A4" s="197">
        <f>Inschrijving!A4</f>
        <v>1</v>
      </c>
      <c r="B4" s="204" t="str">
        <f>Inschrijving!D4</f>
        <v>Mexico</v>
      </c>
      <c r="C4" s="106" t="str">
        <f>Inschrijving!E4</f>
        <v>-</v>
      </c>
      <c r="D4" s="105" t="str">
        <f>Inschrijving!F4</f>
        <v>Zuid-Afrika</v>
      </c>
      <c r="E4" s="23">
        <f>Inschrijving!G4</f>
        <v>0</v>
      </c>
      <c r="F4" s="18" t="str">
        <f>Inschrijving!H4</f>
        <v>-</v>
      </c>
      <c r="G4" s="18">
        <f>Inschrijving!I4</f>
        <v>0</v>
      </c>
      <c r="H4" s="18">
        <f>Inschrijving!J4</f>
        <v>0</v>
      </c>
      <c r="I4" s="43"/>
    </row>
    <row r="5" spans="1:9" x14ac:dyDescent="0.2">
      <c r="A5" s="197">
        <f>Inschrijving!A5</f>
        <v>2</v>
      </c>
      <c r="B5" s="204" t="str">
        <f>Inschrijving!D5</f>
        <v>Zuid-Korea</v>
      </c>
      <c r="C5" s="106" t="str">
        <f>Inschrijving!E5</f>
        <v>-</v>
      </c>
      <c r="D5" s="105" t="str">
        <f>Inschrijving!F5</f>
        <v>Tsjechië</v>
      </c>
      <c r="E5" s="24">
        <f>Inschrijving!G5</f>
        <v>0</v>
      </c>
      <c r="F5" s="18" t="str">
        <f>Inschrijving!H5</f>
        <v>-</v>
      </c>
      <c r="G5" s="18">
        <f>Inschrijving!I5</f>
        <v>0</v>
      </c>
      <c r="H5" s="18">
        <f>Inschrijving!J5</f>
        <v>0</v>
      </c>
      <c r="I5" s="43"/>
    </row>
    <row r="6" spans="1:9" x14ac:dyDescent="0.2">
      <c r="A6" s="197">
        <f>Inschrijving!A6</f>
        <v>25</v>
      </c>
      <c r="B6" s="204" t="str">
        <f>Inschrijving!D6</f>
        <v>Tsjechië</v>
      </c>
      <c r="C6" s="106" t="str">
        <f>Inschrijving!E6</f>
        <v>-</v>
      </c>
      <c r="D6" s="105" t="str">
        <f>Inschrijving!F6</f>
        <v>Zuid-Afrika</v>
      </c>
      <c r="E6" s="23">
        <f>Inschrijving!G6</f>
        <v>0</v>
      </c>
      <c r="F6" s="18" t="str">
        <f>Inschrijving!H6</f>
        <v>-</v>
      </c>
      <c r="G6" s="18">
        <f>Inschrijving!I6</f>
        <v>0</v>
      </c>
      <c r="H6" s="25">
        <f>Inschrijving!J6</f>
        <v>0</v>
      </c>
      <c r="I6" s="43"/>
    </row>
    <row r="7" spans="1:9" x14ac:dyDescent="0.2">
      <c r="A7" s="197">
        <f>Inschrijving!A7</f>
        <v>28</v>
      </c>
      <c r="B7" s="204" t="str">
        <f>Inschrijving!D7</f>
        <v>Mexico</v>
      </c>
      <c r="C7" s="106" t="str">
        <f>Inschrijving!E7</f>
        <v>-</v>
      </c>
      <c r="D7" s="105" t="str">
        <f>Inschrijving!F7</f>
        <v>Zuid-Korea</v>
      </c>
      <c r="E7" s="23">
        <f>Inschrijving!G7</f>
        <v>0</v>
      </c>
      <c r="F7" s="18" t="str">
        <f>Inschrijving!H7</f>
        <v>-</v>
      </c>
      <c r="G7" s="18">
        <f>Inschrijving!I7</f>
        <v>0</v>
      </c>
      <c r="H7" s="26">
        <f>Inschrijving!J7</f>
        <v>0</v>
      </c>
      <c r="I7" s="43"/>
    </row>
    <row r="8" spans="1:9" x14ac:dyDescent="0.2">
      <c r="A8" s="197">
        <f>Inschrijving!A8</f>
        <v>53</v>
      </c>
      <c r="B8" s="204" t="str">
        <f>Inschrijving!D8</f>
        <v>Tsjechië</v>
      </c>
      <c r="C8" s="106" t="str">
        <f>Inschrijving!E8</f>
        <v>-</v>
      </c>
      <c r="D8" s="105" t="str">
        <f>Inschrijving!F8</f>
        <v>Mexico</v>
      </c>
      <c r="E8" s="23">
        <f>Inschrijving!G8</f>
        <v>0</v>
      </c>
      <c r="F8" s="18" t="str">
        <f>Inschrijving!H8</f>
        <v>-</v>
      </c>
      <c r="G8" s="18">
        <f>Inschrijving!I8</f>
        <v>0</v>
      </c>
      <c r="H8" s="26">
        <f>Inschrijving!J8</f>
        <v>0</v>
      </c>
      <c r="I8" s="43"/>
    </row>
    <row r="9" spans="1:9" x14ac:dyDescent="0.2">
      <c r="A9" s="197">
        <f>Inschrijving!A9</f>
        <v>54</v>
      </c>
      <c r="B9" s="204" t="str">
        <f>Inschrijving!D9</f>
        <v>Zuid-Afrika</v>
      </c>
      <c r="C9" s="106" t="str">
        <f>Inschrijving!E9</f>
        <v>-</v>
      </c>
      <c r="D9" s="105" t="str">
        <f>Inschrijving!F9</f>
        <v>Zuid-Korea</v>
      </c>
      <c r="E9" s="23">
        <f>Inschrijving!G9</f>
        <v>0</v>
      </c>
      <c r="F9" s="18" t="str">
        <f>Inschrijving!H9</f>
        <v>-</v>
      </c>
      <c r="G9" s="18">
        <f>Inschrijving!I9</f>
        <v>0</v>
      </c>
      <c r="H9" s="18">
        <f>Inschrijving!J9</f>
        <v>0</v>
      </c>
      <c r="I9" s="43"/>
    </row>
    <row r="10" spans="1:9" x14ac:dyDescent="0.2">
      <c r="A10" s="197"/>
      <c r="B10" s="102"/>
      <c r="C10" s="102"/>
      <c r="D10" s="102"/>
      <c r="E10" s="44"/>
      <c r="F10" s="44"/>
      <c r="G10" s="44"/>
      <c r="H10" s="44"/>
      <c r="I10" s="43"/>
    </row>
    <row r="11" spans="1:9" x14ac:dyDescent="0.2">
      <c r="A11" s="197"/>
      <c r="B11" s="103" t="str">
        <f>Inschrijving!B11</f>
        <v>Groep B</v>
      </c>
      <c r="C11" s="59"/>
      <c r="D11" s="104"/>
      <c r="E11" s="21" t="str">
        <f>Inschrijving!H11</f>
        <v>Uitslag</v>
      </c>
      <c r="F11" s="21"/>
      <c r="G11" s="21"/>
      <c r="H11" s="22" t="str">
        <f>Inschrijving!J11</f>
        <v>Toto</v>
      </c>
      <c r="I11" s="43" t="s">
        <v>70</v>
      </c>
    </row>
    <row r="12" spans="1:9" x14ac:dyDescent="0.2">
      <c r="A12" s="197">
        <f>Inschrijving!A12</f>
        <v>3</v>
      </c>
      <c r="B12" s="204" t="str">
        <f>Inschrijving!D12</f>
        <v>Canada</v>
      </c>
      <c r="C12" s="106" t="str">
        <f>Inschrijving!E12</f>
        <v>-</v>
      </c>
      <c r="D12" s="105" t="str">
        <f>Inschrijving!F12</f>
        <v>Bosnië-Herzegovina</v>
      </c>
      <c r="E12" s="23">
        <f>Inschrijving!G12</f>
        <v>0</v>
      </c>
      <c r="F12" s="18" t="str">
        <f>Inschrijving!H12</f>
        <v>-</v>
      </c>
      <c r="G12" s="18">
        <f>Inschrijving!I12</f>
        <v>0</v>
      </c>
      <c r="H12" s="18">
        <f>Inschrijving!J12</f>
        <v>0</v>
      </c>
      <c r="I12" s="43"/>
    </row>
    <row r="13" spans="1:9" x14ac:dyDescent="0.2">
      <c r="A13" s="197">
        <f>Inschrijving!A13</f>
        <v>8</v>
      </c>
      <c r="B13" s="204" t="str">
        <f>Inschrijving!D13</f>
        <v>Qatar</v>
      </c>
      <c r="C13" s="106" t="str">
        <f>Inschrijving!E13</f>
        <v>-</v>
      </c>
      <c r="D13" s="105" t="str">
        <f>Inschrijving!F13</f>
        <v>Zwitserland</v>
      </c>
      <c r="E13" s="24">
        <f>Inschrijving!G13</f>
        <v>0</v>
      </c>
      <c r="F13" s="18" t="str">
        <f>Inschrijving!H13</f>
        <v>-</v>
      </c>
      <c r="G13" s="18">
        <f>Inschrijving!I13</f>
        <v>0</v>
      </c>
      <c r="H13" s="18">
        <f>Inschrijving!J13</f>
        <v>0</v>
      </c>
      <c r="I13" s="43"/>
    </row>
    <row r="14" spans="1:9" x14ac:dyDescent="0.2">
      <c r="A14" s="197">
        <f>Inschrijving!A14</f>
        <v>26</v>
      </c>
      <c r="B14" s="204" t="str">
        <f>Inschrijving!D14</f>
        <v>Zwitserland</v>
      </c>
      <c r="C14" s="106" t="str">
        <f>Inschrijving!E14</f>
        <v>-</v>
      </c>
      <c r="D14" s="105" t="str">
        <f>Inschrijving!F14</f>
        <v>Bosnië-Herzegovina</v>
      </c>
      <c r="E14" s="23">
        <f>Inschrijving!G14</f>
        <v>0</v>
      </c>
      <c r="F14" s="18" t="str">
        <f>Inschrijving!H14</f>
        <v>-</v>
      </c>
      <c r="G14" s="18">
        <f>Inschrijving!I14</f>
        <v>0</v>
      </c>
      <c r="H14" s="25">
        <f>Inschrijving!J14</f>
        <v>0</v>
      </c>
      <c r="I14" s="43"/>
    </row>
    <row r="15" spans="1:9" x14ac:dyDescent="0.2">
      <c r="A15" s="197">
        <f>Inschrijving!A15</f>
        <v>27</v>
      </c>
      <c r="B15" s="204" t="str">
        <f>Inschrijving!D15</f>
        <v>Canada</v>
      </c>
      <c r="C15" s="106" t="str">
        <f>Inschrijving!E15</f>
        <v>-</v>
      </c>
      <c r="D15" s="105" t="str">
        <f>Inschrijving!F15</f>
        <v>Qatar</v>
      </c>
      <c r="E15" s="23">
        <f>Inschrijving!G15</f>
        <v>0</v>
      </c>
      <c r="F15" s="18" t="str">
        <f>Inschrijving!H15</f>
        <v>-</v>
      </c>
      <c r="G15" s="18">
        <f>Inschrijving!I15</f>
        <v>0</v>
      </c>
      <c r="H15" s="26">
        <f>Inschrijving!J15</f>
        <v>0</v>
      </c>
      <c r="I15" s="43"/>
    </row>
    <row r="16" spans="1:9" x14ac:dyDescent="0.2">
      <c r="A16" s="197">
        <f>Inschrijving!A16</f>
        <v>51</v>
      </c>
      <c r="B16" s="204" t="str">
        <f>Inschrijving!D16</f>
        <v>Zwitserland</v>
      </c>
      <c r="C16" s="106" t="str">
        <f>Inschrijving!E16</f>
        <v>-</v>
      </c>
      <c r="D16" s="105" t="str">
        <f>Inschrijving!F16</f>
        <v>Canada</v>
      </c>
      <c r="E16" s="23">
        <f>Inschrijving!G16</f>
        <v>0</v>
      </c>
      <c r="F16" s="18" t="str">
        <f>Inschrijving!H16</f>
        <v>-</v>
      </c>
      <c r="G16" s="18">
        <f>Inschrijving!I16</f>
        <v>0</v>
      </c>
      <c r="H16" s="26">
        <f>Inschrijving!J16</f>
        <v>0</v>
      </c>
      <c r="I16" s="43"/>
    </row>
    <row r="17" spans="1:9" x14ac:dyDescent="0.2">
      <c r="A17" s="197">
        <f>Inschrijving!A17</f>
        <v>52</v>
      </c>
      <c r="B17" s="205" t="str">
        <f>Inschrijving!D17</f>
        <v>Bosnië-Herzegovina</v>
      </c>
      <c r="C17" s="106" t="str">
        <f>Inschrijving!E17</f>
        <v>-</v>
      </c>
      <c r="D17" s="105" t="str">
        <f>Inschrijving!F17</f>
        <v>Qatar</v>
      </c>
      <c r="E17" s="23">
        <f>Inschrijving!G17</f>
        <v>0</v>
      </c>
      <c r="F17" s="18" t="str">
        <f>Inschrijving!H17</f>
        <v>-</v>
      </c>
      <c r="G17" s="18">
        <f>Inschrijving!I17</f>
        <v>0</v>
      </c>
      <c r="H17" s="18">
        <f>Inschrijving!J17</f>
        <v>0</v>
      </c>
      <c r="I17" s="43"/>
    </row>
    <row r="18" spans="1:9" x14ac:dyDescent="0.2">
      <c r="A18" s="197"/>
      <c r="B18" s="102"/>
      <c r="C18" s="102"/>
      <c r="D18" s="102"/>
      <c r="E18" s="44"/>
      <c r="F18" s="44"/>
      <c r="G18" s="44"/>
      <c r="H18" s="44"/>
      <c r="I18" s="43"/>
    </row>
    <row r="19" spans="1:9" x14ac:dyDescent="0.2">
      <c r="A19" s="197"/>
      <c r="B19" s="103" t="str">
        <f>Inschrijving!B19</f>
        <v>Groep C</v>
      </c>
      <c r="C19" s="59"/>
      <c r="D19" s="104"/>
      <c r="E19" s="21" t="str">
        <f>Inschrijving!H19</f>
        <v>Uitslag</v>
      </c>
      <c r="F19" s="21"/>
      <c r="G19" s="21"/>
      <c r="H19" s="22" t="str">
        <f>Inschrijving!J19</f>
        <v>Toto</v>
      </c>
      <c r="I19" s="43" t="s">
        <v>71</v>
      </c>
    </row>
    <row r="20" spans="1:9" x14ac:dyDescent="0.2">
      <c r="A20" s="197">
        <f>Inschrijving!A20</f>
        <v>7</v>
      </c>
      <c r="B20" s="204" t="str">
        <f>Inschrijving!D20</f>
        <v>Brazilië</v>
      </c>
      <c r="C20" s="106" t="str">
        <f>Inschrijving!E20</f>
        <v>-</v>
      </c>
      <c r="D20" s="105" t="str">
        <f>Inschrijving!F20</f>
        <v>Marokko</v>
      </c>
      <c r="E20" s="23">
        <f>Inschrijving!G20</f>
        <v>0</v>
      </c>
      <c r="F20" s="18" t="str">
        <f>Inschrijving!H20</f>
        <v>-</v>
      </c>
      <c r="G20" s="18">
        <f>Inschrijving!I20</f>
        <v>0</v>
      </c>
      <c r="H20" s="18">
        <f>Inschrijving!J20</f>
        <v>0</v>
      </c>
      <c r="I20" s="43"/>
    </row>
    <row r="21" spans="1:9" x14ac:dyDescent="0.2">
      <c r="A21" s="197">
        <f>Inschrijving!A21</f>
        <v>5</v>
      </c>
      <c r="B21" s="204" t="str">
        <f>Inschrijving!D21</f>
        <v>Haïti</v>
      </c>
      <c r="C21" s="106" t="str">
        <f>Inschrijving!E21</f>
        <v>-</v>
      </c>
      <c r="D21" s="105" t="str">
        <f>Inschrijving!F21</f>
        <v>Schotland</v>
      </c>
      <c r="E21" s="24">
        <f>Inschrijving!G21</f>
        <v>0</v>
      </c>
      <c r="F21" s="18" t="str">
        <f>Inschrijving!H21</f>
        <v>-</v>
      </c>
      <c r="G21" s="18">
        <f>Inschrijving!I21</f>
        <v>0</v>
      </c>
      <c r="H21" s="18">
        <f>Inschrijving!J21</f>
        <v>0</v>
      </c>
      <c r="I21" s="43"/>
    </row>
    <row r="22" spans="1:9" x14ac:dyDescent="0.2">
      <c r="A22" s="197">
        <f>Inschrijving!A22</f>
        <v>30</v>
      </c>
      <c r="B22" s="204" t="str">
        <f>Inschrijving!D22</f>
        <v>Schotland</v>
      </c>
      <c r="C22" s="106" t="str">
        <f>Inschrijving!E22</f>
        <v>-</v>
      </c>
      <c r="D22" s="105" t="str">
        <f>Inschrijving!F22</f>
        <v>Marokko</v>
      </c>
      <c r="E22" s="23">
        <f>Inschrijving!G22</f>
        <v>0</v>
      </c>
      <c r="F22" s="18" t="str">
        <f>Inschrijving!H22</f>
        <v>-</v>
      </c>
      <c r="G22" s="18">
        <f>Inschrijving!I22</f>
        <v>0</v>
      </c>
      <c r="H22" s="25">
        <f>Inschrijving!J22</f>
        <v>0</v>
      </c>
      <c r="I22" s="43"/>
    </row>
    <row r="23" spans="1:9" x14ac:dyDescent="0.2">
      <c r="A23" s="197">
        <f>Inschrijving!A23</f>
        <v>29</v>
      </c>
      <c r="B23" s="204" t="str">
        <f>Inschrijving!D23</f>
        <v>Brazilië</v>
      </c>
      <c r="C23" s="106" t="str">
        <f>Inschrijving!E23</f>
        <v>-</v>
      </c>
      <c r="D23" s="105" t="str">
        <f>Inschrijving!F23</f>
        <v>Haïti</v>
      </c>
      <c r="E23" s="23">
        <f>Inschrijving!G23</f>
        <v>0</v>
      </c>
      <c r="F23" s="18" t="str">
        <f>Inschrijving!H23</f>
        <v>-</v>
      </c>
      <c r="G23" s="18">
        <f>Inschrijving!I23</f>
        <v>0</v>
      </c>
      <c r="H23" s="26">
        <f>Inschrijving!J23</f>
        <v>0</v>
      </c>
      <c r="I23" s="43"/>
    </row>
    <row r="24" spans="1:9" x14ac:dyDescent="0.2">
      <c r="A24" s="197">
        <f>Inschrijving!A24</f>
        <v>49</v>
      </c>
      <c r="B24" s="204" t="str">
        <f>Inschrijving!D24</f>
        <v>Schotland</v>
      </c>
      <c r="C24" s="106" t="str">
        <f>Inschrijving!E24</f>
        <v>-</v>
      </c>
      <c r="D24" s="105" t="str">
        <f>Inschrijving!F24</f>
        <v>Brazilië</v>
      </c>
      <c r="E24" s="23">
        <f>Inschrijving!G24</f>
        <v>0</v>
      </c>
      <c r="F24" s="18" t="str">
        <f>Inschrijving!H24</f>
        <v>-</v>
      </c>
      <c r="G24" s="18">
        <f>Inschrijving!I24</f>
        <v>0</v>
      </c>
      <c r="H24" s="26">
        <f>Inschrijving!J24</f>
        <v>0</v>
      </c>
      <c r="I24" s="43"/>
    </row>
    <row r="25" spans="1:9" x14ac:dyDescent="0.2">
      <c r="A25" s="197">
        <f>Inschrijving!A25</f>
        <v>50</v>
      </c>
      <c r="B25" s="204" t="str">
        <f>Inschrijving!D25</f>
        <v>Marokko</v>
      </c>
      <c r="C25" s="106" t="str">
        <f>Inschrijving!E25</f>
        <v>-</v>
      </c>
      <c r="D25" s="105" t="str">
        <f>Inschrijving!F25</f>
        <v>Haïti</v>
      </c>
      <c r="E25" s="23">
        <f>Inschrijving!G25</f>
        <v>0</v>
      </c>
      <c r="F25" s="18" t="str">
        <f>Inschrijving!H25</f>
        <v>-</v>
      </c>
      <c r="G25" s="18">
        <f>Inschrijving!I25</f>
        <v>0</v>
      </c>
      <c r="H25" s="18">
        <f>Inschrijving!J25</f>
        <v>0</v>
      </c>
      <c r="I25" s="43"/>
    </row>
    <row r="26" spans="1:9" x14ac:dyDescent="0.2">
      <c r="A26" s="197"/>
      <c r="B26" s="102"/>
      <c r="C26" s="102"/>
      <c r="D26" s="102"/>
      <c r="E26" s="44"/>
      <c r="F26" s="44"/>
      <c r="G26" s="44"/>
      <c r="H26" s="44"/>
      <c r="I26" s="43"/>
    </row>
    <row r="27" spans="1:9" x14ac:dyDescent="0.2">
      <c r="A27" s="197"/>
      <c r="B27" s="103" t="str">
        <f>Inschrijving!B27</f>
        <v>Groep D</v>
      </c>
      <c r="C27" s="59"/>
      <c r="D27" s="104"/>
      <c r="E27" s="21" t="str">
        <f>Inschrijving!H27</f>
        <v>Uitslag</v>
      </c>
      <c r="F27" s="21"/>
      <c r="G27" s="21"/>
      <c r="H27" s="22" t="str">
        <f>Inschrijving!J27</f>
        <v>Toto</v>
      </c>
      <c r="I27" s="43" t="s">
        <v>72</v>
      </c>
    </row>
    <row r="28" spans="1:9" x14ac:dyDescent="0.2">
      <c r="A28" s="197">
        <f>Inschrijving!A28</f>
        <v>4</v>
      </c>
      <c r="B28" s="204" t="str">
        <f>Inschrijving!D28</f>
        <v>Verenigde Staten</v>
      </c>
      <c r="C28" s="106" t="str">
        <f>Inschrijving!E28</f>
        <v>-</v>
      </c>
      <c r="D28" s="105" t="str">
        <f>Inschrijving!F28</f>
        <v>Paraguay</v>
      </c>
      <c r="E28" s="23">
        <f>Inschrijving!G28</f>
        <v>0</v>
      </c>
      <c r="F28" s="18" t="str">
        <f>Inschrijving!H28</f>
        <v>-</v>
      </c>
      <c r="G28" s="18">
        <f>Inschrijving!I28</f>
        <v>0</v>
      </c>
      <c r="H28" s="18">
        <f>Inschrijving!J28</f>
        <v>0</v>
      </c>
      <c r="I28" s="43"/>
    </row>
    <row r="29" spans="1:9" x14ac:dyDescent="0.2">
      <c r="A29" s="197">
        <f>Inschrijving!A29</f>
        <v>6</v>
      </c>
      <c r="B29" s="204" t="str">
        <f>Inschrijving!D29</f>
        <v>Australië</v>
      </c>
      <c r="C29" s="106" t="str">
        <f>Inschrijving!E29</f>
        <v>-</v>
      </c>
      <c r="D29" s="105" t="str">
        <f>Inschrijving!F29</f>
        <v>Turkije</v>
      </c>
      <c r="E29" s="24">
        <f>Inschrijving!G29</f>
        <v>0</v>
      </c>
      <c r="F29" s="18" t="str">
        <f>Inschrijving!H29</f>
        <v>-</v>
      </c>
      <c r="G29" s="18">
        <f>Inschrijving!I29</f>
        <v>0</v>
      </c>
      <c r="H29" s="18">
        <f>Inschrijving!J29</f>
        <v>0</v>
      </c>
      <c r="I29" s="43"/>
    </row>
    <row r="30" spans="1:9" x14ac:dyDescent="0.2">
      <c r="A30" s="197">
        <f>Inschrijving!A30</f>
        <v>31</v>
      </c>
      <c r="B30" s="204" t="str">
        <f>Inschrijving!D30</f>
        <v>Turkije</v>
      </c>
      <c r="C30" s="106" t="str">
        <f>Inschrijving!E30</f>
        <v>-</v>
      </c>
      <c r="D30" s="105" t="str">
        <f>Inschrijving!F30</f>
        <v>Paraguay</v>
      </c>
      <c r="E30" s="23">
        <f>Inschrijving!G30</f>
        <v>0</v>
      </c>
      <c r="F30" s="18" t="str">
        <f>Inschrijving!H30</f>
        <v>-</v>
      </c>
      <c r="G30" s="18">
        <f>Inschrijving!I30</f>
        <v>0</v>
      </c>
      <c r="H30" s="25">
        <f>Inschrijving!J30</f>
        <v>0</v>
      </c>
      <c r="I30" s="43"/>
    </row>
    <row r="31" spans="1:9" x14ac:dyDescent="0.2">
      <c r="A31" s="197">
        <f>Inschrijving!A31</f>
        <v>32</v>
      </c>
      <c r="B31" s="204" t="str">
        <f>Inschrijving!D31</f>
        <v>Verenigde Staten</v>
      </c>
      <c r="C31" s="106" t="str">
        <f>Inschrijving!E31</f>
        <v>-</v>
      </c>
      <c r="D31" s="105" t="str">
        <f>Inschrijving!F31</f>
        <v>Australië</v>
      </c>
      <c r="E31" s="23">
        <f>Inschrijving!G31</f>
        <v>0</v>
      </c>
      <c r="F31" s="18" t="str">
        <f>Inschrijving!H31</f>
        <v>-</v>
      </c>
      <c r="G31" s="18">
        <f>Inschrijving!I31</f>
        <v>0</v>
      </c>
      <c r="H31" s="26">
        <f>Inschrijving!J31</f>
        <v>0</v>
      </c>
      <c r="I31" s="43"/>
    </row>
    <row r="32" spans="1:9" x14ac:dyDescent="0.2">
      <c r="A32" s="197">
        <f>Inschrijving!A32</f>
        <v>59</v>
      </c>
      <c r="B32" s="204" t="str">
        <f>Inschrijving!D32</f>
        <v>Turkije</v>
      </c>
      <c r="C32" s="106" t="str">
        <f>Inschrijving!E32</f>
        <v>-</v>
      </c>
      <c r="D32" s="105" t="str">
        <f>Inschrijving!F32</f>
        <v>Verenigde Staten</v>
      </c>
      <c r="E32" s="23">
        <f>Inschrijving!G32</f>
        <v>0</v>
      </c>
      <c r="F32" s="18" t="str">
        <f>Inschrijving!H32</f>
        <v>-</v>
      </c>
      <c r="G32" s="18">
        <f>Inschrijving!I32</f>
        <v>0</v>
      </c>
      <c r="H32" s="26">
        <f>Inschrijving!J32</f>
        <v>0</v>
      </c>
      <c r="I32" s="43"/>
    </row>
    <row r="33" spans="1:9" x14ac:dyDescent="0.2">
      <c r="A33" s="197">
        <f>Inschrijving!A33</f>
        <v>60</v>
      </c>
      <c r="B33" s="204" t="str">
        <f>Inschrijving!D33</f>
        <v>Paraguay</v>
      </c>
      <c r="C33" s="106" t="str">
        <f>Inschrijving!E33</f>
        <v>-</v>
      </c>
      <c r="D33" s="105" t="str">
        <f>Inschrijving!F33</f>
        <v>Australië</v>
      </c>
      <c r="E33" s="23">
        <f>Inschrijving!G33</f>
        <v>0</v>
      </c>
      <c r="F33" s="18" t="str">
        <f>Inschrijving!H33</f>
        <v>-</v>
      </c>
      <c r="G33" s="18">
        <f>Inschrijving!I33</f>
        <v>0</v>
      </c>
      <c r="H33" s="18">
        <f>Inschrijving!J33</f>
        <v>0</v>
      </c>
      <c r="I33" s="43"/>
    </row>
    <row r="34" spans="1:9" x14ac:dyDescent="0.2">
      <c r="A34" s="197"/>
      <c r="B34" s="102"/>
      <c r="C34" s="102"/>
      <c r="D34" s="102"/>
      <c r="E34" s="44"/>
      <c r="F34" s="44"/>
      <c r="G34" s="44"/>
      <c r="H34" s="44"/>
      <c r="I34" s="43"/>
    </row>
    <row r="35" spans="1:9" x14ac:dyDescent="0.2">
      <c r="A35" s="197"/>
      <c r="B35" s="103" t="str">
        <f>Inschrijving!B35</f>
        <v>Groep E</v>
      </c>
      <c r="C35" s="59"/>
      <c r="D35" s="104"/>
      <c r="E35" s="21" t="str">
        <f>Inschrijving!H35</f>
        <v>Uitslag</v>
      </c>
      <c r="F35" s="21"/>
      <c r="G35" s="21"/>
      <c r="H35" s="22" t="str">
        <f>Inschrijving!J35</f>
        <v>Toto</v>
      </c>
      <c r="I35" s="43" t="s">
        <v>73</v>
      </c>
    </row>
    <row r="36" spans="1:9" x14ac:dyDescent="0.2">
      <c r="A36" s="197">
        <f>Inschrijving!A36</f>
        <v>10</v>
      </c>
      <c r="B36" s="204" t="str">
        <f>Inschrijving!D36</f>
        <v>Duitsland</v>
      </c>
      <c r="C36" s="106" t="str">
        <f>Inschrijving!E36</f>
        <v>-</v>
      </c>
      <c r="D36" s="105" t="str">
        <f>Inschrijving!F36</f>
        <v>Curaçao</v>
      </c>
      <c r="E36" s="23">
        <f>Inschrijving!G36</f>
        <v>0</v>
      </c>
      <c r="F36" s="18" t="str">
        <f>Inschrijving!H36</f>
        <v>-</v>
      </c>
      <c r="G36" s="18">
        <f>Inschrijving!I36</f>
        <v>0</v>
      </c>
      <c r="H36" s="18">
        <f>Inschrijving!J36</f>
        <v>0</v>
      </c>
      <c r="I36" s="43"/>
    </row>
    <row r="37" spans="1:9" x14ac:dyDescent="0.2">
      <c r="A37" s="197">
        <f>Inschrijving!A37</f>
        <v>9</v>
      </c>
      <c r="B37" s="204" t="str">
        <f>Inschrijving!D37</f>
        <v>Ivoorkust</v>
      </c>
      <c r="C37" s="106" t="str">
        <f>Inschrijving!E37</f>
        <v>-</v>
      </c>
      <c r="D37" s="105" t="str">
        <f>Inschrijving!F37</f>
        <v>Ecuador</v>
      </c>
      <c r="E37" s="24">
        <f>Inschrijving!G37</f>
        <v>0</v>
      </c>
      <c r="F37" s="18" t="str">
        <f>Inschrijving!H37</f>
        <v>-</v>
      </c>
      <c r="G37" s="18">
        <f>Inschrijving!I37</f>
        <v>0</v>
      </c>
      <c r="H37" s="18">
        <f>Inschrijving!J37</f>
        <v>0</v>
      </c>
      <c r="I37" s="43"/>
    </row>
    <row r="38" spans="1:9" x14ac:dyDescent="0.2">
      <c r="A38" s="197">
        <f>Inschrijving!A38</f>
        <v>33</v>
      </c>
      <c r="B38" s="204" t="str">
        <f>Inschrijving!D38</f>
        <v>Duitsland</v>
      </c>
      <c r="C38" s="106" t="str">
        <f>Inschrijving!E38</f>
        <v>-</v>
      </c>
      <c r="D38" s="105" t="str">
        <f>Inschrijving!F38</f>
        <v>Ivoorkust</v>
      </c>
      <c r="E38" s="23">
        <f>Inschrijving!G38</f>
        <v>0</v>
      </c>
      <c r="F38" s="18" t="str">
        <f>Inschrijving!H38</f>
        <v>-</v>
      </c>
      <c r="G38" s="18">
        <f>Inschrijving!I38</f>
        <v>0</v>
      </c>
      <c r="H38" s="25">
        <f>Inschrijving!J38</f>
        <v>0</v>
      </c>
      <c r="I38" s="43"/>
    </row>
    <row r="39" spans="1:9" x14ac:dyDescent="0.2">
      <c r="A39" s="197">
        <f>Inschrijving!A39</f>
        <v>34</v>
      </c>
      <c r="B39" s="204" t="str">
        <f>Inschrijving!D39</f>
        <v>Ecuador</v>
      </c>
      <c r="C39" s="106" t="str">
        <f>Inschrijving!E39</f>
        <v>-</v>
      </c>
      <c r="D39" s="105" t="str">
        <f>Inschrijving!F39</f>
        <v>Curaçao</v>
      </c>
      <c r="E39" s="23">
        <f>Inschrijving!G39</f>
        <v>0</v>
      </c>
      <c r="F39" s="18" t="str">
        <f>Inschrijving!H39</f>
        <v>-</v>
      </c>
      <c r="G39" s="18">
        <f>Inschrijving!I39</f>
        <v>0</v>
      </c>
      <c r="H39" s="26">
        <f>Inschrijving!J39</f>
        <v>0</v>
      </c>
      <c r="I39" s="43"/>
    </row>
    <row r="40" spans="1:9" x14ac:dyDescent="0.2">
      <c r="A40" s="197">
        <f>Inschrijving!A40</f>
        <v>55</v>
      </c>
      <c r="B40" s="204" t="str">
        <f>Inschrijving!D40</f>
        <v>Curaçao</v>
      </c>
      <c r="C40" s="106" t="str">
        <f>Inschrijving!E40</f>
        <v>-</v>
      </c>
      <c r="D40" s="105" t="str">
        <f>Inschrijving!F40</f>
        <v>Ivoorkust</v>
      </c>
      <c r="E40" s="23">
        <f>Inschrijving!G40</f>
        <v>0</v>
      </c>
      <c r="F40" s="18" t="str">
        <f>Inschrijving!H40</f>
        <v>-</v>
      </c>
      <c r="G40" s="18">
        <f>Inschrijving!I40</f>
        <v>0</v>
      </c>
      <c r="H40" s="26">
        <f>Inschrijving!J40</f>
        <v>0</v>
      </c>
      <c r="I40" s="43"/>
    </row>
    <row r="41" spans="1:9" x14ac:dyDescent="0.2">
      <c r="A41" s="197">
        <f>Inschrijving!A41</f>
        <v>56</v>
      </c>
      <c r="B41" s="204" t="str">
        <f>Inschrijving!D41</f>
        <v>Ecuador</v>
      </c>
      <c r="C41" s="106" t="str">
        <f>Inschrijving!E41</f>
        <v>-</v>
      </c>
      <c r="D41" s="105" t="str">
        <f>Inschrijving!F41</f>
        <v>Duitsland</v>
      </c>
      <c r="E41" s="23">
        <f>Inschrijving!G41</f>
        <v>0</v>
      </c>
      <c r="F41" s="18" t="str">
        <f>Inschrijving!H41</f>
        <v>-</v>
      </c>
      <c r="G41" s="18">
        <f>Inschrijving!I41</f>
        <v>0</v>
      </c>
      <c r="H41" s="18">
        <f>Inschrijving!J41</f>
        <v>0</v>
      </c>
      <c r="I41" s="43"/>
    </row>
    <row r="42" spans="1:9" x14ac:dyDescent="0.2">
      <c r="A42" s="197"/>
      <c r="B42" s="102"/>
      <c r="C42" s="102"/>
      <c r="D42" s="102"/>
      <c r="E42" s="44"/>
      <c r="F42" s="44"/>
      <c r="G42" s="44"/>
      <c r="H42" s="44"/>
      <c r="I42" s="43"/>
    </row>
    <row r="43" spans="1:9" x14ac:dyDescent="0.2">
      <c r="A43" s="197"/>
      <c r="B43" s="103" t="str">
        <f>Inschrijving!B43</f>
        <v>Groep F</v>
      </c>
      <c r="C43" s="59"/>
      <c r="D43" s="104"/>
      <c r="E43" s="21" t="str">
        <f>Inschrijving!H43</f>
        <v>Uitslag</v>
      </c>
      <c r="F43" s="21"/>
      <c r="G43" s="21"/>
      <c r="H43" s="22" t="str">
        <f>Inschrijving!J43</f>
        <v>Toto</v>
      </c>
      <c r="I43" s="43" t="s">
        <v>74</v>
      </c>
    </row>
    <row r="44" spans="1:9" x14ac:dyDescent="0.2">
      <c r="A44" s="197">
        <f>Inschrijving!A44</f>
        <v>11</v>
      </c>
      <c r="B44" s="204" t="str">
        <f>Inschrijving!D44</f>
        <v>Nederland</v>
      </c>
      <c r="C44" s="106" t="str">
        <f>Inschrijving!E44</f>
        <v>-</v>
      </c>
      <c r="D44" s="105" t="str">
        <f>Inschrijving!F44</f>
        <v>Japan</v>
      </c>
      <c r="E44" s="23">
        <f>Inschrijving!G44</f>
        <v>0</v>
      </c>
      <c r="F44" s="18" t="str">
        <f>Inschrijving!H44</f>
        <v>-</v>
      </c>
      <c r="G44" s="18">
        <f>Inschrijving!I44</f>
        <v>0</v>
      </c>
      <c r="H44" s="18">
        <f>Inschrijving!J44</f>
        <v>0</v>
      </c>
      <c r="I44" s="43"/>
    </row>
    <row r="45" spans="1:9" x14ac:dyDescent="0.2">
      <c r="A45" s="197">
        <f>Inschrijving!A45</f>
        <v>12</v>
      </c>
      <c r="B45" s="204" t="str">
        <f>Inschrijving!D45</f>
        <v>Zweden</v>
      </c>
      <c r="C45" s="106" t="str">
        <f>Inschrijving!E45</f>
        <v>-</v>
      </c>
      <c r="D45" s="105" t="str">
        <f>Inschrijving!F45</f>
        <v>Tunesië</v>
      </c>
      <c r="E45" s="24">
        <f>Inschrijving!G45</f>
        <v>0</v>
      </c>
      <c r="F45" s="18" t="str">
        <f>Inschrijving!H45</f>
        <v>-</v>
      </c>
      <c r="G45" s="18">
        <f>Inschrijving!I45</f>
        <v>0</v>
      </c>
      <c r="H45" s="18">
        <f>Inschrijving!J45</f>
        <v>0</v>
      </c>
      <c r="I45" s="43"/>
    </row>
    <row r="46" spans="1:9" x14ac:dyDescent="0.2">
      <c r="A46" s="197">
        <f>Inschrijving!A46</f>
        <v>35</v>
      </c>
      <c r="B46" s="204" t="str">
        <f>Inschrijving!D46</f>
        <v>Nederland</v>
      </c>
      <c r="C46" s="106" t="str">
        <f>Inschrijving!E46</f>
        <v>-</v>
      </c>
      <c r="D46" s="105" t="str">
        <f>Inschrijving!F46</f>
        <v>Zweden</v>
      </c>
      <c r="E46" s="23">
        <f>Inschrijving!G46</f>
        <v>0</v>
      </c>
      <c r="F46" s="18" t="str">
        <f>Inschrijving!H46</f>
        <v>-</v>
      </c>
      <c r="G46" s="18">
        <f>Inschrijving!I46</f>
        <v>0</v>
      </c>
      <c r="H46" s="25">
        <f>Inschrijving!J46</f>
        <v>0</v>
      </c>
      <c r="I46" s="43"/>
    </row>
    <row r="47" spans="1:9" x14ac:dyDescent="0.2">
      <c r="A47" s="197">
        <f>Inschrijving!A47</f>
        <v>36</v>
      </c>
      <c r="B47" s="204" t="str">
        <f>Inschrijving!D47</f>
        <v>Tunesië</v>
      </c>
      <c r="C47" s="106" t="str">
        <f>Inschrijving!E47</f>
        <v>-</v>
      </c>
      <c r="D47" s="105" t="str">
        <f>Inschrijving!F47</f>
        <v>Japan</v>
      </c>
      <c r="E47" s="23">
        <f>Inschrijving!G47</f>
        <v>0</v>
      </c>
      <c r="F47" s="18" t="str">
        <f>Inschrijving!H47</f>
        <v>-</v>
      </c>
      <c r="G47" s="18">
        <f>Inschrijving!I47</f>
        <v>0</v>
      </c>
      <c r="H47" s="26">
        <f>Inschrijving!J47</f>
        <v>0</v>
      </c>
      <c r="I47" s="43"/>
    </row>
    <row r="48" spans="1:9" x14ac:dyDescent="0.2">
      <c r="A48" s="197">
        <f>Inschrijving!A48</f>
        <v>57</v>
      </c>
      <c r="B48" s="204" t="str">
        <f>Inschrijving!D48</f>
        <v>Japan</v>
      </c>
      <c r="C48" s="106" t="str">
        <f>Inschrijving!E48</f>
        <v>-</v>
      </c>
      <c r="D48" s="105" t="str">
        <f>Inschrijving!F48</f>
        <v>Zweden</v>
      </c>
      <c r="E48" s="23">
        <f>Inschrijving!G48</f>
        <v>0</v>
      </c>
      <c r="F48" s="18" t="str">
        <f>Inschrijving!H48</f>
        <v>-</v>
      </c>
      <c r="G48" s="18">
        <f>Inschrijving!I48</f>
        <v>0</v>
      </c>
      <c r="H48" s="26">
        <f>Inschrijving!J48</f>
        <v>0</v>
      </c>
      <c r="I48" s="43"/>
    </row>
    <row r="49" spans="1:9" x14ac:dyDescent="0.2">
      <c r="A49" s="197">
        <f>Inschrijving!A49</f>
        <v>58</v>
      </c>
      <c r="B49" s="204" t="str">
        <f>Inschrijving!D49</f>
        <v>Tunesië</v>
      </c>
      <c r="C49" s="106" t="str">
        <f>Inschrijving!E49</f>
        <v>-</v>
      </c>
      <c r="D49" s="105" t="str">
        <f>Inschrijving!F49</f>
        <v>Nederland</v>
      </c>
      <c r="E49" s="23">
        <f>Inschrijving!G49</f>
        <v>0</v>
      </c>
      <c r="F49" s="18" t="str">
        <f>Inschrijving!H49</f>
        <v>-</v>
      </c>
      <c r="G49" s="18">
        <f>Inschrijving!I49</f>
        <v>0</v>
      </c>
      <c r="H49" s="18">
        <f>Inschrijving!J49</f>
        <v>0</v>
      </c>
      <c r="I49" s="43"/>
    </row>
    <row r="50" spans="1:9" x14ac:dyDescent="0.2">
      <c r="A50" s="197"/>
      <c r="B50" s="102"/>
      <c r="C50" s="102"/>
      <c r="D50" s="102"/>
      <c r="E50" s="44"/>
      <c r="F50" s="44"/>
      <c r="G50" s="44"/>
      <c r="H50" s="44"/>
      <c r="I50" s="43"/>
    </row>
    <row r="51" spans="1:9" x14ac:dyDescent="0.2">
      <c r="A51" s="197"/>
      <c r="B51" s="103" t="str">
        <f>Inschrijving!B51</f>
        <v>Groep G</v>
      </c>
      <c r="C51" s="59"/>
      <c r="D51" s="104"/>
      <c r="E51" s="21" t="str">
        <f>Inschrijving!H51</f>
        <v>Uitslag</v>
      </c>
      <c r="F51" s="21"/>
      <c r="G51" s="21"/>
      <c r="H51" s="22" t="str">
        <f>Inschrijving!J51</f>
        <v>Toto</v>
      </c>
      <c r="I51" s="43" t="s">
        <v>75</v>
      </c>
    </row>
    <row r="52" spans="1:9" x14ac:dyDescent="0.2">
      <c r="A52" s="197">
        <f>Inschrijving!A52</f>
        <v>16</v>
      </c>
      <c r="B52" s="204" t="str">
        <f>Inschrijving!D52</f>
        <v>België</v>
      </c>
      <c r="C52" s="106" t="str">
        <f>Inschrijving!E52</f>
        <v>-</v>
      </c>
      <c r="D52" s="105" t="str">
        <f>Inschrijving!F52</f>
        <v>Egypte</v>
      </c>
      <c r="E52" s="23">
        <f>Inschrijving!G52</f>
        <v>0</v>
      </c>
      <c r="F52" s="18" t="str">
        <f>Inschrijving!H52</f>
        <v>-</v>
      </c>
      <c r="G52" s="18">
        <f>Inschrijving!I52</f>
        <v>0</v>
      </c>
      <c r="H52" s="18">
        <f>Inschrijving!J52</f>
        <v>0</v>
      </c>
      <c r="I52" s="43"/>
    </row>
    <row r="53" spans="1:9" x14ac:dyDescent="0.2">
      <c r="A53" s="197">
        <f>Inschrijving!A53</f>
        <v>15</v>
      </c>
      <c r="B53" s="204" t="str">
        <f>Inschrijving!D53</f>
        <v>Iran</v>
      </c>
      <c r="C53" s="106" t="str">
        <f>Inschrijving!E53</f>
        <v>-</v>
      </c>
      <c r="D53" s="105" t="str">
        <f>Inschrijving!F53</f>
        <v>Nieuw-Zeeland</v>
      </c>
      <c r="E53" s="24">
        <f>Inschrijving!G53</f>
        <v>0</v>
      </c>
      <c r="F53" s="18" t="str">
        <f>Inschrijving!H53</f>
        <v>-</v>
      </c>
      <c r="G53" s="18">
        <f>Inschrijving!I53</f>
        <v>0</v>
      </c>
      <c r="H53" s="18">
        <f>Inschrijving!J53</f>
        <v>0</v>
      </c>
      <c r="I53" s="44"/>
    </row>
    <row r="54" spans="1:9" x14ac:dyDescent="0.2">
      <c r="A54" s="197">
        <f>Inschrijving!A54</f>
        <v>39</v>
      </c>
      <c r="B54" s="204" t="str">
        <f>Inschrijving!D54</f>
        <v>België</v>
      </c>
      <c r="C54" s="106" t="str">
        <f>Inschrijving!E54</f>
        <v>-</v>
      </c>
      <c r="D54" s="105" t="str">
        <f>Inschrijving!F54</f>
        <v>Iran</v>
      </c>
      <c r="E54" s="23">
        <f>Inschrijving!G54</f>
        <v>0</v>
      </c>
      <c r="F54" s="18" t="str">
        <f>Inschrijving!H54</f>
        <v>-</v>
      </c>
      <c r="G54" s="18">
        <f>Inschrijving!I54</f>
        <v>0</v>
      </c>
      <c r="H54" s="25">
        <f>Inschrijving!J54</f>
        <v>0</v>
      </c>
      <c r="I54" s="44"/>
    </row>
    <row r="55" spans="1:9" x14ac:dyDescent="0.2">
      <c r="A55" s="197">
        <f>Inschrijving!A55</f>
        <v>40</v>
      </c>
      <c r="B55" s="204" t="str">
        <f>Inschrijving!D55</f>
        <v>Nieuw-Zeeland</v>
      </c>
      <c r="C55" s="106" t="str">
        <f>Inschrijving!E55</f>
        <v>-</v>
      </c>
      <c r="D55" s="105" t="str">
        <f>Inschrijving!F55</f>
        <v>Egypte</v>
      </c>
      <c r="E55" s="23">
        <f>Inschrijving!G55</f>
        <v>0</v>
      </c>
      <c r="F55" s="18" t="str">
        <f>Inschrijving!H55</f>
        <v>-</v>
      </c>
      <c r="G55" s="18">
        <f>Inschrijving!I55</f>
        <v>0</v>
      </c>
      <c r="H55" s="26">
        <f>Inschrijving!J55</f>
        <v>0</v>
      </c>
      <c r="I55" s="44"/>
    </row>
    <row r="56" spans="1:9" x14ac:dyDescent="0.2">
      <c r="A56" s="197">
        <f>Inschrijving!A56</f>
        <v>63</v>
      </c>
      <c r="B56" s="204" t="str">
        <f>Inschrijving!D56</f>
        <v>Egypte</v>
      </c>
      <c r="C56" s="106" t="str">
        <f>Inschrijving!E56</f>
        <v>-</v>
      </c>
      <c r="D56" s="105" t="str">
        <f>Inschrijving!F56</f>
        <v>Iran</v>
      </c>
      <c r="E56" s="23">
        <f>Inschrijving!G56</f>
        <v>0</v>
      </c>
      <c r="F56" s="18" t="str">
        <f>Inschrijving!H56</f>
        <v>-</v>
      </c>
      <c r="G56" s="18">
        <f>Inschrijving!I56</f>
        <v>0</v>
      </c>
      <c r="H56" s="26">
        <f>Inschrijving!J56</f>
        <v>0</v>
      </c>
      <c r="I56" s="44"/>
    </row>
    <row r="57" spans="1:9" x14ac:dyDescent="0.2">
      <c r="A57" s="197">
        <f>Inschrijving!A57</f>
        <v>64</v>
      </c>
      <c r="B57" s="204" t="str">
        <f>Inschrijving!D57</f>
        <v>Nieuw-Zeeland</v>
      </c>
      <c r="C57" s="106" t="str">
        <f>Inschrijving!E57</f>
        <v>-</v>
      </c>
      <c r="D57" s="105" t="str">
        <f>Inschrijving!F57</f>
        <v>België</v>
      </c>
      <c r="E57" s="23">
        <f>Inschrijving!G57</f>
        <v>0</v>
      </c>
      <c r="F57" s="18" t="str">
        <f>Inschrijving!H57</f>
        <v>-</v>
      </c>
      <c r="G57" s="18">
        <f>Inschrijving!I57</f>
        <v>0</v>
      </c>
      <c r="H57" s="18">
        <f>Inschrijving!J57</f>
        <v>0</v>
      </c>
      <c r="I57" s="44"/>
    </row>
    <row r="58" spans="1:9" x14ac:dyDescent="0.2">
      <c r="A58" s="197"/>
      <c r="B58" s="102"/>
      <c r="C58" s="102"/>
      <c r="D58" s="102"/>
      <c r="E58" s="44"/>
      <c r="F58" s="44"/>
      <c r="G58" s="44"/>
      <c r="H58" s="44"/>
      <c r="I58" s="44"/>
    </row>
    <row r="59" spans="1:9" x14ac:dyDescent="0.2">
      <c r="A59" s="197"/>
      <c r="B59" s="103" t="str">
        <f>Inschrijving!B59</f>
        <v>Groep H</v>
      </c>
      <c r="C59" s="59"/>
      <c r="D59" s="104"/>
      <c r="E59" s="21" t="str">
        <f>Inschrijving!H59</f>
        <v>Uitslag</v>
      </c>
      <c r="F59" s="21"/>
      <c r="G59" s="21"/>
      <c r="H59" s="22" t="str">
        <f>Inschrijving!J59</f>
        <v>Toto</v>
      </c>
      <c r="I59" s="44" t="s">
        <v>76</v>
      </c>
    </row>
    <row r="60" spans="1:9" x14ac:dyDescent="0.2">
      <c r="A60" s="197">
        <f>Inschrijving!A60</f>
        <v>14</v>
      </c>
      <c r="B60" s="204" t="str">
        <f>Inschrijving!D60</f>
        <v>Spanje</v>
      </c>
      <c r="C60" s="106" t="str">
        <f>Inschrijving!E60</f>
        <v>-</v>
      </c>
      <c r="D60" s="105" t="str">
        <f>Inschrijving!F60</f>
        <v>Kaapverdië</v>
      </c>
      <c r="E60" s="23">
        <f>Inschrijving!G60</f>
        <v>0</v>
      </c>
      <c r="F60" s="18" t="str">
        <f>Inschrijving!H60</f>
        <v>-</v>
      </c>
      <c r="G60" s="18">
        <f>Inschrijving!I60</f>
        <v>0</v>
      </c>
      <c r="H60" s="18">
        <f>Inschrijving!J60</f>
        <v>0</v>
      </c>
      <c r="I60" s="44"/>
    </row>
    <row r="61" spans="1:9" x14ac:dyDescent="0.2">
      <c r="A61" s="197">
        <f>Inschrijving!A61</f>
        <v>13</v>
      </c>
      <c r="B61" s="204" t="str">
        <f>Inschrijving!D61</f>
        <v>Saoedi-Arabië</v>
      </c>
      <c r="C61" s="106" t="str">
        <f>Inschrijving!E61</f>
        <v>-</v>
      </c>
      <c r="D61" s="105" t="str">
        <f>Inschrijving!F61</f>
        <v>Uruguay</v>
      </c>
      <c r="E61" s="24">
        <f>Inschrijving!G61</f>
        <v>0</v>
      </c>
      <c r="F61" s="18" t="str">
        <f>Inschrijving!H61</f>
        <v>-</v>
      </c>
      <c r="G61" s="18">
        <f>Inschrijving!I61</f>
        <v>0</v>
      </c>
      <c r="H61" s="18">
        <f>Inschrijving!J61</f>
        <v>0</v>
      </c>
      <c r="I61" s="44"/>
    </row>
    <row r="62" spans="1:9" x14ac:dyDescent="0.2">
      <c r="A62" s="197">
        <f>Inschrijving!A62</f>
        <v>38</v>
      </c>
      <c r="B62" s="204" t="str">
        <f>Inschrijving!D62</f>
        <v>Spanje</v>
      </c>
      <c r="C62" s="106" t="str">
        <f>Inschrijving!E62</f>
        <v>-</v>
      </c>
      <c r="D62" s="105" t="str">
        <f>Inschrijving!F62</f>
        <v>Saoedi-Arabië</v>
      </c>
      <c r="E62" s="23">
        <f>Inschrijving!G62</f>
        <v>0</v>
      </c>
      <c r="F62" s="18" t="str">
        <f>Inschrijving!H62</f>
        <v>-</v>
      </c>
      <c r="G62" s="18">
        <f>Inschrijving!I62</f>
        <v>0</v>
      </c>
      <c r="H62" s="25">
        <f>Inschrijving!J62</f>
        <v>0</v>
      </c>
      <c r="I62" s="44"/>
    </row>
    <row r="63" spans="1:9" x14ac:dyDescent="0.2">
      <c r="A63" s="197">
        <f>Inschrijving!A63</f>
        <v>37</v>
      </c>
      <c r="B63" s="204" t="str">
        <f>Inschrijving!D63</f>
        <v>Uruguay</v>
      </c>
      <c r="C63" s="106" t="str">
        <f>Inschrijving!E63</f>
        <v>-</v>
      </c>
      <c r="D63" s="105" t="str">
        <f>Inschrijving!F63</f>
        <v>Kaapverdië</v>
      </c>
      <c r="E63" s="23">
        <f>Inschrijving!G63</f>
        <v>0</v>
      </c>
      <c r="F63" s="18" t="str">
        <f>Inschrijving!H63</f>
        <v>-</v>
      </c>
      <c r="G63" s="18">
        <f>Inschrijving!I63</f>
        <v>0</v>
      </c>
      <c r="H63" s="26">
        <f>Inschrijving!J63</f>
        <v>0</v>
      </c>
      <c r="I63" s="44"/>
    </row>
    <row r="64" spans="1:9" x14ac:dyDescent="0.2">
      <c r="A64" s="197">
        <f>Inschrijving!A64</f>
        <v>65</v>
      </c>
      <c r="B64" s="204" t="str">
        <f>Inschrijving!D64</f>
        <v>Kaapverdië</v>
      </c>
      <c r="C64" s="106" t="str">
        <f>Inschrijving!E64</f>
        <v>-</v>
      </c>
      <c r="D64" s="105" t="str">
        <f>Inschrijving!F64</f>
        <v>Saoedi-Arabië</v>
      </c>
      <c r="E64" s="23">
        <f>Inschrijving!G64</f>
        <v>0</v>
      </c>
      <c r="F64" s="18" t="str">
        <f>Inschrijving!H64</f>
        <v>-</v>
      </c>
      <c r="G64" s="18">
        <f>Inschrijving!I64</f>
        <v>0</v>
      </c>
      <c r="H64" s="26">
        <f>Inschrijving!J64</f>
        <v>0</v>
      </c>
      <c r="I64" s="44"/>
    </row>
    <row r="65" spans="1:9" x14ac:dyDescent="0.2">
      <c r="A65" s="197">
        <f>Inschrijving!A65</f>
        <v>66</v>
      </c>
      <c r="B65" s="204" t="str">
        <f>Inschrijving!D65</f>
        <v>Uruguay</v>
      </c>
      <c r="C65" s="106" t="str">
        <f>Inschrijving!E65</f>
        <v>-</v>
      </c>
      <c r="D65" s="105" t="str">
        <f>Inschrijving!F65</f>
        <v>Spanje</v>
      </c>
      <c r="E65" s="23">
        <f>Inschrijving!G65</f>
        <v>0</v>
      </c>
      <c r="F65" s="18" t="str">
        <f>Inschrijving!H65</f>
        <v>-</v>
      </c>
      <c r="G65" s="18">
        <f>Inschrijving!I65</f>
        <v>0</v>
      </c>
      <c r="H65" s="18">
        <f>Inschrijving!J65</f>
        <v>0</v>
      </c>
      <c r="I65" s="44"/>
    </row>
    <row r="66" spans="1:9" x14ac:dyDescent="0.2">
      <c r="A66" s="197"/>
      <c r="B66" s="102"/>
      <c r="C66" s="102"/>
      <c r="D66" s="102"/>
      <c r="E66" s="44"/>
      <c r="F66" s="44"/>
      <c r="G66" s="44"/>
      <c r="H66" s="44"/>
      <c r="I66" s="44"/>
    </row>
    <row r="67" spans="1:9" x14ac:dyDescent="0.2">
      <c r="A67" s="197"/>
      <c r="B67" s="103" t="str">
        <f>Inschrijving!B67</f>
        <v>Groep I</v>
      </c>
      <c r="C67" s="59"/>
      <c r="D67" s="104"/>
      <c r="E67" s="21" t="str">
        <f>Inschrijving!H67</f>
        <v>Uitslag</v>
      </c>
      <c r="F67" s="21"/>
      <c r="G67" s="21"/>
      <c r="H67" s="22" t="str">
        <f>Inschrijving!J67</f>
        <v>Toto</v>
      </c>
      <c r="I67" s="44" t="s">
        <v>464</v>
      </c>
    </row>
    <row r="68" spans="1:9" x14ac:dyDescent="0.2">
      <c r="A68" s="197">
        <f>Inschrijving!A68</f>
        <v>17</v>
      </c>
      <c r="B68" s="204" t="str">
        <f>Inschrijving!D68</f>
        <v>Frankrijk</v>
      </c>
      <c r="C68" s="106" t="str">
        <f>Inschrijving!E68</f>
        <v>-</v>
      </c>
      <c r="D68" s="105" t="str">
        <f>Inschrijving!F68</f>
        <v>Senegal</v>
      </c>
      <c r="E68" s="23">
        <f>Inschrijving!G68</f>
        <v>0</v>
      </c>
      <c r="F68" s="18" t="str">
        <f>Inschrijving!H68</f>
        <v>-</v>
      </c>
      <c r="G68" s="18">
        <f>Inschrijving!I68</f>
        <v>0</v>
      </c>
      <c r="H68" s="18">
        <f>Inschrijving!J68</f>
        <v>0</v>
      </c>
      <c r="I68" s="44"/>
    </row>
    <row r="69" spans="1:9" x14ac:dyDescent="0.2">
      <c r="A69" s="197">
        <f>Inschrijving!A69</f>
        <v>18</v>
      </c>
      <c r="B69" s="204" t="str">
        <f>Inschrijving!D69</f>
        <v>Irak</v>
      </c>
      <c r="C69" s="106" t="str">
        <f>Inschrijving!E69</f>
        <v>-</v>
      </c>
      <c r="D69" s="105" t="str">
        <f>Inschrijving!F69</f>
        <v>Noorwegen</v>
      </c>
      <c r="E69" s="24">
        <f>Inschrijving!G69</f>
        <v>0</v>
      </c>
      <c r="F69" s="18" t="str">
        <f>Inschrijving!H69</f>
        <v>-</v>
      </c>
      <c r="G69" s="18">
        <f>Inschrijving!I69</f>
        <v>0</v>
      </c>
      <c r="H69" s="18">
        <f>Inschrijving!J69</f>
        <v>0</v>
      </c>
      <c r="I69" s="44"/>
    </row>
    <row r="70" spans="1:9" x14ac:dyDescent="0.2">
      <c r="A70" s="197">
        <f>Inschrijving!A70</f>
        <v>42</v>
      </c>
      <c r="B70" s="204" t="str">
        <f>Inschrijving!D70</f>
        <v>Frankrijk</v>
      </c>
      <c r="C70" s="106" t="str">
        <f>Inschrijving!E70</f>
        <v>-</v>
      </c>
      <c r="D70" s="105" t="str">
        <f>Inschrijving!F70</f>
        <v>Irak</v>
      </c>
      <c r="E70" s="23">
        <f>Inschrijving!G70</f>
        <v>0</v>
      </c>
      <c r="F70" s="18" t="str">
        <f>Inschrijving!H70</f>
        <v>-</v>
      </c>
      <c r="G70" s="18">
        <f>Inschrijving!I70</f>
        <v>0</v>
      </c>
      <c r="H70" s="25">
        <f>Inschrijving!J70</f>
        <v>0</v>
      </c>
      <c r="I70" s="44"/>
    </row>
    <row r="71" spans="1:9" x14ac:dyDescent="0.2">
      <c r="A71" s="197">
        <f>Inschrijving!A71</f>
        <v>41</v>
      </c>
      <c r="B71" s="204" t="str">
        <f>Inschrijving!D71</f>
        <v>Noorwegen</v>
      </c>
      <c r="C71" s="106" t="str">
        <f>Inschrijving!E71</f>
        <v>-</v>
      </c>
      <c r="D71" s="105" t="str">
        <f>Inschrijving!F71</f>
        <v>Senegal</v>
      </c>
      <c r="E71" s="23">
        <f>Inschrijving!G71</f>
        <v>0</v>
      </c>
      <c r="F71" s="18" t="str">
        <f>Inschrijving!H71</f>
        <v>-</v>
      </c>
      <c r="G71" s="18">
        <f>Inschrijving!I71</f>
        <v>0</v>
      </c>
      <c r="H71" s="26">
        <f>Inschrijving!J71</f>
        <v>0</v>
      </c>
      <c r="I71" s="44"/>
    </row>
    <row r="72" spans="1:9" x14ac:dyDescent="0.2">
      <c r="A72" s="197">
        <f>Inschrijving!A72</f>
        <v>61</v>
      </c>
      <c r="B72" s="204" t="str">
        <f>Inschrijving!D72</f>
        <v>Noorwegen</v>
      </c>
      <c r="C72" s="106" t="str">
        <f>Inschrijving!E72</f>
        <v>-</v>
      </c>
      <c r="D72" s="105" t="str">
        <f>Inschrijving!F72</f>
        <v>Frankrijk</v>
      </c>
      <c r="E72" s="23">
        <f>Inschrijving!G72</f>
        <v>0</v>
      </c>
      <c r="F72" s="18" t="str">
        <f>Inschrijving!H72</f>
        <v>-</v>
      </c>
      <c r="G72" s="18">
        <f>Inschrijving!I72</f>
        <v>0</v>
      </c>
      <c r="H72" s="26">
        <f>Inschrijving!J72</f>
        <v>0</v>
      </c>
      <c r="I72" s="44"/>
    </row>
    <row r="73" spans="1:9" x14ac:dyDescent="0.2">
      <c r="A73" s="197">
        <f>Inschrijving!A73</f>
        <v>62</v>
      </c>
      <c r="B73" s="204" t="str">
        <f>Inschrijving!D73</f>
        <v>Senegal</v>
      </c>
      <c r="C73" s="106" t="str">
        <f>Inschrijving!E73</f>
        <v>-</v>
      </c>
      <c r="D73" s="105" t="str">
        <f>Inschrijving!F73</f>
        <v>Irak</v>
      </c>
      <c r="E73" s="23">
        <f>Inschrijving!G73</f>
        <v>0</v>
      </c>
      <c r="F73" s="18" t="str">
        <f>Inschrijving!H73</f>
        <v>-</v>
      </c>
      <c r="G73" s="18">
        <f>Inschrijving!I73</f>
        <v>0</v>
      </c>
      <c r="H73" s="18">
        <f>Inschrijving!J73</f>
        <v>0</v>
      </c>
      <c r="I73" s="44"/>
    </row>
    <row r="74" spans="1:9" x14ac:dyDescent="0.2">
      <c r="A74" s="197"/>
      <c r="B74" s="102"/>
      <c r="C74" s="102"/>
      <c r="D74" s="102"/>
      <c r="E74" s="44"/>
      <c r="F74" s="44"/>
      <c r="G74" s="44"/>
      <c r="H74" s="44"/>
      <c r="I74" s="43"/>
    </row>
    <row r="75" spans="1:9" x14ac:dyDescent="0.2">
      <c r="A75" s="197"/>
      <c r="B75" s="103" t="str">
        <f>Inschrijving!B75</f>
        <v>Groep J</v>
      </c>
      <c r="C75" s="59"/>
      <c r="D75" s="104"/>
      <c r="E75" s="21" t="str">
        <f>Inschrijving!H75</f>
        <v>Uitslag</v>
      </c>
      <c r="F75" s="21"/>
      <c r="G75" s="21"/>
      <c r="H75" s="22" t="str">
        <f>Inschrijving!J75</f>
        <v>Toto</v>
      </c>
      <c r="I75" s="43" t="s">
        <v>465</v>
      </c>
    </row>
    <row r="76" spans="1:9" x14ac:dyDescent="0.2">
      <c r="A76" s="197">
        <f>Inschrijving!A76</f>
        <v>19</v>
      </c>
      <c r="B76" s="204" t="str">
        <f>Inschrijving!D76</f>
        <v>Argentinië</v>
      </c>
      <c r="C76" s="106" t="str">
        <f>Inschrijving!E76</f>
        <v>-</v>
      </c>
      <c r="D76" s="105" t="str">
        <f>Inschrijving!F76</f>
        <v>Algerije</v>
      </c>
      <c r="E76" s="23">
        <f>Inschrijving!G76</f>
        <v>0</v>
      </c>
      <c r="F76" s="18" t="str">
        <f>Inschrijving!H76</f>
        <v>-</v>
      </c>
      <c r="G76" s="18">
        <f>Inschrijving!I76</f>
        <v>0</v>
      </c>
      <c r="H76" s="18">
        <f>Inschrijving!J76</f>
        <v>0</v>
      </c>
      <c r="I76" s="43"/>
    </row>
    <row r="77" spans="1:9" x14ac:dyDescent="0.2">
      <c r="A77" s="197">
        <f>Inschrijving!A77</f>
        <v>20</v>
      </c>
      <c r="B77" s="204" t="str">
        <f>Inschrijving!D77</f>
        <v>Oostenrijk</v>
      </c>
      <c r="C77" s="106" t="str">
        <f>Inschrijving!E77</f>
        <v>-</v>
      </c>
      <c r="D77" s="105" t="str">
        <f>Inschrijving!F77</f>
        <v>Jordanië</v>
      </c>
      <c r="E77" s="24">
        <f>Inschrijving!G77</f>
        <v>0</v>
      </c>
      <c r="F77" s="18" t="str">
        <f>Inschrijving!H77</f>
        <v>-</v>
      </c>
      <c r="G77" s="18">
        <f>Inschrijving!I77</f>
        <v>0</v>
      </c>
      <c r="H77" s="18">
        <f>Inschrijving!J77</f>
        <v>0</v>
      </c>
      <c r="I77" s="44"/>
    </row>
    <row r="78" spans="1:9" x14ac:dyDescent="0.2">
      <c r="A78" s="197">
        <f>Inschrijving!A78</f>
        <v>43</v>
      </c>
      <c r="B78" s="204" t="str">
        <f>Inschrijving!D78</f>
        <v>Argentinië</v>
      </c>
      <c r="C78" s="106" t="str">
        <f>Inschrijving!E78</f>
        <v>-</v>
      </c>
      <c r="D78" s="105" t="str">
        <f>Inschrijving!F78</f>
        <v>Oostenrijk</v>
      </c>
      <c r="E78" s="23">
        <f>Inschrijving!G78</f>
        <v>0</v>
      </c>
      <c r="F78" s="18" t="str">
        <f>Inschrijving!H78</f>
        <v>-</v>
      </c>
      <c r="G78" s="18">
        <f>Inschrijving!I78</f>
        <v>0</v>
      </c>
      <c r="H78" s="25">
        <f>Inschrijving!J78</f>
        <v>0</v>
      </c>
      <c r="I78" s="44"/>
    </row>
    <row r="79" spans="1:9" x14ac:dyDescent="0.2">
      <c r="A79" s="197">
        <f>Inschrijving!A79</f>
        <v>44</v>
      </c>
      <c r="B79" s="204" t="str">
        <f>Inschrijving!D79</f>
        <v>Jordanië</v>
      </c>
      <c r="C79" s="106" t="str">
        <f>Inschrijving!E79</f>
        <v>-</v>
      </c>
      <c r="D79" s="105" t="str">
        <f>Inschrijving!F79</f>
        <v>Algerije</v>
      </c>
      <c r="E79" s="23">
        <f>Inschrijving!G79</f>
        <v>0</v>
      </c>
      <c r="F79" s="18" t="str">
        <f>Inschrijving!H79</f>
        <v>-</v>
      </c>
      <c r="G79" s="18">
        <f>Inschrijving!I79</f>
        <v>0</v>
      </c>
      <c r="H79" s="26">
        <f>Inschrijving!J79</f>
        <v>0</v>
      </c>
      <c r="I79" s="44"/>
    </row>
    <row r="80" spans="1:9" x14ac:dyDescent="0.2">
      <c r="A80" s="197">
        <f>Inschrijving!A80</f>
        <v>69</v>
      </c>
      <c r="B80" s="204" t="str">
        <f>Inschrijving!D80</f>
        <v>Algerije</v>
      </c>
      <c r="C80" s="106" t="str">
        <f>Inschrijving!E80</f>
        <v>-</v>
      </c>
      <c r="D80" s="105" t="str">
        <f>Inschrijving!F80</f>
        <v>Oostenrijk</v>
      </c>
      <c r="E80" s="23">
        <f>Inschrijving!G80</f>
        <v>0</v>
      </c>
      <c r="F80" s="18" t="str">
        <f>Inschrijving!H80</f>
        <v>-</v>
      </c>
      <c r="G80" s="18">
        <f>Inschrijving!I80</f>
        <v>0</v>
      </c>
      <c r="H80" s="26">
        <f>Inschrijving!J80</f>
        <v>0</v>
      </c>
      <c r="I80" s="44"/>
    </row>
    <row r="81" spans="1:9" x14ac:dyDescent="0.2">
      <c r="A81" s="197">
        <f>Inschrijving!A81</f>
        <v>70</v>
      </c>
      <c r="B81" s="204" t="str">
        <f>Inschrijving!D81</f>
        <v>Jordanië</v>
      </c>
      <c r="C81" s="106" t="str">
        <f>Inschrijving!E81</f>
        <v>-</v>
      </c>
      <c r="D81" s="105" t="str">
        <f>Inschrijving!F81</f>
        <v>Argentinië</v>
      </c>
      <c r="E81" s="23">
        <f>Inschrijving!G81</f>
        <v>0</v>
      </c>
      <c r="F81" s="18" t="str">
        <f>Inschrijving!H81</f>
        <v>-</v>
      </c>
      <c r="G81" s="18">
        <f>Inschrijving!I81</f>
        <v>0</v>
      </c>
      <c r="H81" s="18">
        <f>Inschrijving!J81</f>
        <v>0</v>
      </c>
      <c r="I81" s="44"/>
    </row>
    <row r="82" spans="1:9" x14ac:dyDescent="0.2">
      <c r="A82" s="197"/>
      <c r="B82" s="102"/>
      <c r="C82" s="102"/>
      <c r="D82" s="102"/>
      <c r="E82" s="44"/>
      <c r="F82" s="44"/>
      <c r="G82" s="44"/>
      <c r="H82" s="44"/>
      <c r="I82" s="44"/>
    </row>
    <row r="83" spans="1:9" x14ac:dyDescent="0.2">
      <c r="A83" s="197"/>
      <c r="B83" s="103" t="str">
        <f>Inschrijving!B83</f>
        <v>Groep K</v>
      </c>
      <c r="C83" s="59"/>
      <c r="D83" s="104"/>
      <c r="E83" s="21" t="str">
        <f>Inschrijving!H83</f>
        <v>Uitslag</v>
      </c>
      <c r="F83" s="21"/>
      <c r="G83" s="21"/>
      <c r="H83" s="22" t="str">
        <f>Inschrijving!J83</f>
        <v>Toto</v>
      </c>
      <c r="I83" s="44" t="s">
        <v>466</v>
      </c>
    </row>
    <row r="84" spans="1:9" x14ac:dyDescent="0.2">
      <c r="A84" s="197">
        <f>Inschrijving!A84</f>
        <v>23</v>
      </c>
      <c r="B84" s="204" t="str">
        <f>Inschrijving!D84</f>
        <v>Portugal</v>
      </c>
      <c r="C84" s="106" t="str">
        <f>Inschrijving!E84</f>
        <v>-</v>
      </c>
      <c r="D84" s="105" t="str">
        <f>Inschrijving!F84</f>
        <v>Congo</v>
      </c>
      <c r="E84" s="23">
        <f>Inschrijving!G84</f>
        <v>0</v>
      </c>
      <c r="F84" s="18" t="str">
        <f>Inschrijving!H84</f>
        <v>-</v>
      </c>
      <c r="G84" s="18">
        <f>Inschrijving!I84</f>
        <v>0</v>
      </c>
      <c r="H84" s="18">
        <f>Inschrijving!J84</f>
        <v>0</v>
      </c>
      <c r="I84" s="44"/>
    </row>
    <row r="85" spans="1:9" x14ac:dyDescent="0.2">
      <c r="A85" s="197">
        <f>Inschrijving!A85</f>
        <v>24</v>
      </c>
      <c r="B85" s="204" t="str">
        <f>Inschrijving!D85</f>
        <v>Oezbekistan</v>
      </c>
      <c r="C85" s="106" t="str">
        <f>Inschrijving!E85</f>
        <v>-</v>
      </c>
      <c r="D85" s="105" t="str">
        <f>Inschrijving!F85</f>
        <v>Colombia</v>
      </c>
      <c r="E85" s="24">
        <f>Inschrijving!G85</f>
        <v>0</v>
      </c>
      <c r="F85" s="18" t="str">
        <f>Inschrijving!H85</f>
        <v>-</v>
      </c>
      <c r="G85" s="18">
        <f>Inschrijving!I85</f>
        <v>0</v>
      </c>
      <c r="H85" s="18">
        <f>Inschrijving!J85</f>
        <v>0</v>
      </c>
      <c r="I85" s="44"/>
    </row>
    <row r="86" spans="1:9" x14ac:dyDescent="0.2">
      <c r="A86" s="197">
        <f>Inschrijving!A86</f>
        <v>47</v>
      </c>
      <c r="B86" s="204" t="str">
        <f>Inschrijving!D86</f>
        <v>Portugal</v>
      </c>
      <c r="C86" s="106" t="str">
        <f>Inschrijving!E86</f>
        <v>-</v>
      </c>
      <c r="D86" s="105" t="str">
        <f>Inschrijving!F86</f>
        <v>Oezbekistan</v>
      </c>
      <c r="E86" s="23">
        <f>Inschrijving!G86</f>
        <v>0</v>
      </c>
      <c r="F86" s="18" t="str">
        <f>Inschrijving!H86</f>
        <v>-</v>
      </c>
      <c r="G86" s="18">
        <f>Inschrijving!I86</f>
        <v>0</v>
      </c>
      <c r="H86" s="25">
        <f>Inschrijving!J86</f>
        <v>0</v>
      </c>
      <c r="I86" s="44"/>
    </row>
    <row r="87" spans="1:9" x14ac:dyDescent="0.2">
      <c r="A87" s="197">
        <f>Inschrijving!A87</f>
        <v>48</v>
      </c>
      <c r="B87" s="204" t="str">
        <f>Inschrijving!D87</f>
        <v>Colombia</v>
      </c>
      <c r="C87" s="106" t="str">
        <f>Inschrijving!E87</f>
        <v>-</v>
      </c>
      <c r="D87" s="105" t="str">
        <f>Inschrijving!F87</f>
        <v>Congo</v>
      </c>
      <c r="E87" s="23">
        <f>Inschrijving!G87</f>
        <v>0</v>
      </c>
      <c r="F87" s="18" t="str">
        <f>Inschrijving!H87</f>
        <v>-</v>
      </c>
      <c r="G87" s="18">
        <f>Inschrijving!I87</f>
        <v>0</v>
      </c>
      <c r="H87" s="26">
        <f>Inschrijving!J87</f>
        <v>0</v>
      </c>
      <c r="I87" s="44"/>
    </row>
    <row r="88" spans="1:9" x14ac:dyDescent="0.2">
      <c r="A88" s="197">
        <f>Inschrijving!A88</f>
        <v>71</v>
      </c>
      <c r="B88" s="204" t="str">
        <f>Inschrijving!D88</f>
        <v>Colombia</v>
      </c>
      <c r="C88" s="106" t="str">
        <f>Inschrijving!E88</f>
        <v>-</v>
      </c>
      <c r="D88" s="105" t="str">
        <f>Inschrijving!F88</f>
        <v>Portugal</v>
      </c>
      <c r="E88" s="23">
        <f>Inschrijving!G88</f>
        <v>0</v>
      </c>
      <c r="F88" s="18" t="str">
        <f>Inschrijving!H88</f>
        <v>-</v>
      </c>
      <c r="G88" s="18">
        <f>Inschrijving!I88</f>
        <v>0</v>
      </c>
      <c r="H88" s="26">
        <f>Inschrijving!J88</f>
        <v>0</v>
      </c>
      <c r="I88" s="44"/>
    </row>
    <row r="89" spans="1:9" x14ac:dyDescent="0.2">
      <c r="A89" s="197">
        <f>Inschrijving!A89</f>
        <v>72</v>
      </c>
      <c r="B89" s="204" t="str">
        <f>Inschrijving!D89</f>
        <v>Congo</v>
      </c>
      <c r="C89" s="106" t="str">
        <f>Inschrijving!E89</f>
        <v>-</v>
      </c>
      <c r="D89" s="105" t="str">
        <f>Inschrijving!F89</f>
        <v>Oezbekistan</v>
      </c>
      <c r="E89" s="23">
        <f>Inschrijving!G89</f>
        <v>0</v>
      </c>
      <c r="F89" s="18" t="str">
        <f>Inschrijving!H89</f>
        <v>-</v>
      </c>
      <c r="G89" s="18">
        <f>Inschrijving!I89</f>
        <v>0</v>
      </c>
      <c r="H89" s="18">
        <f>Inschrijving!J89</f>
        <v>0</v>
      </c>
      <c r="I89" s="44"/>
    </row>
    <row r="90" spans="1:9" x14ac:dyDescent="0.2">
      <c r="A90" s="197"/>
      <c r="B90" s="102"/>
      <c r="C90" s="102"/>
      <c r="D90" s="102"/>
      <c r="E90" s="44"/>
      <c r="F90" s="44"/>
      <c r="G90" s="44"/>
      <c r="H90" s="44"/>
      <c r="I90" s="44"/>
    </row>
    <row r="91" spans="1:9" x14ac:dyDescent="0.2">
      <c r="A91" s="197"/>
      <c r="B91" s="103" t="str">
        <f>Inschrijving!B91</f>
        <v>Groep L</v>
      </c>
      <c r="C91" s="59"/>
      <c r="D91" s="104"/>
      <c r="E91" s="21" t="str">
        <f>Inschrijving!H91</f>
        <v>Uitslag</v>
      </c>
      <c r="F91" s="21"/>
      <c r="G91" s="21"/>
      <c r="H91" s="22" t="str">
        <f>Inschrijving!J91</f>
        <v>Toto</v>
      </c>
      <c r="I91" s="44" t="s">
        <v>467</v>
      </c>
    </row>
    <row r="92" spans="1:9" x14ac:dyDescent="0.2">
      <c r="A92" s="197">
        <f>Inschrijving!A92</f>
        <v>22</v>
      </c>
      <c r="B92" s="204" t="str">
        <f>Inschrijving!D92</f>
        <v>Engeland</v>
      </c>
      <c r="C92" s="106" t="str">
        <f>Inschrijving!E92</f>
        <v>-</v>
      </c>
      <c r="D92" s="105" t="str">
        <f>Inschrijving!F92</f>
        <v>Kroatië</v>
      </c>
      <c r="E92" s="23">
        <f>Inschrijving!G92</f>
        <v>0</v>
      </c>
      <c r="F92" s="18" t="str">
        <f>Inschrijving!H92</f>
        <v>-</v>
      </c>
      <c r="G92" s="18">
        <f>Inschrijving!I92</f>
        <v>0</v>
      </c>
      <c r="H92" s="18">
        <f>Inschrijving!J92</f>
        <v>0</v>
      </c>
      <c r="I92" s="44"/>
    </row>
    <row r="93" spans="1:9" x14ac:dyDescent="0.2">
      <c r="A93" s="197">
        <f>Inschrijving!A93</f>
        <v>21</v>
      </c>
      <c r="B93" s="204" t="str">
        <f>Inschrijving!D93</f>
        <v>Ghana</v>
      </c>
      <c r="C93" s="106" t="str">
        <f>Inschrijving!E93</f>
        <v>-</v>
      </c>
      <c r="D93" s="105" t="str">
        <f>Inschrijving!F93</f>
        <v>Panama</v>
      </c>
      <c r="E93" s="24">
        <f>Inschrijving!G93</f>
        <v>0</v>
      </c>
      <c r="F93" s="18" t="str">
        <f>Inschrijving!H93</f>
        <v>-</v>
      </c>
      <c r="G93" s="18">
        <f>Inschrijving!I93</f>
        <v>0</v>
      </c>
      <c r="H93" s="18">
        <f>Inschrijving!J93</f>
        <v>0</v>
      </c>
      <c r="I93" s="44"/>
    </row>
    <row r="94" spans="1:9" x14ac:dyDescent="0.2">
      <c r="A94" s="197">
        <f>Inschrijving!A94</f>
        <v>45</v>
      </c>
      <c r="B94" s="204" t="str">
        <f>Inschrijving!D94</f>
        <v>Engeland</v>
      </c>
      <c r="C94" s="106" t="str">
        <f>Inschrijving!E94</f>
        <v>-</v>
      </c>
      <c r="D94" s="105" t="str">
        <f>Inschrijving!F94</f>
        <v>Ghana</v>
      </c>
      <c r="E94" s="23">
        <f>Inschrijving!G94</f>
        <v>0</v>
      </c>
      <c r="F94" s="18" t="str">
        <f>Inschrijving!H94</f>
        <v>-</v>
      </c>
      <c r="G94" s="18">
        <f>Inschrijving!I94</f>
        <v>0</v>
      </c>
      <c r="H94" s="25">
        <f>Inschrijving!J94</f>
        <v>0</v>
      </c>
      <c r="I94" s="44"/>
    </row>
    <row r="95" spans="1:9" x14ac:dyDescent="0.2">
      <c r="A95" s="197">
        <f>Inschrijving!A95</f>
        <v>46</v>
      </c>
      <c r="B95" s="204" t="str">
        <f>Inschrijving!D95</f>
        <v>Panama</v>
      </c>
      <c r="C95" s="106" t="str">
        <f>Inschrijving!E95</f>
        <v>-</v>
      </c>
      <c r="D95" s="105" t="str">
        <f>Inschrijving!F95</f>
        <v>Kroatië</v>
      </c>
      <c r="E95" s="23">
        <f>Inschrijving!G95</f>
        <v>0</v>
      </c>
      <c r="F95" s="18" t="str">
        <f>Inschrijving!H95</f>
        <v>-</v>
      </c>
      <c r="G95" s="18">
        <f>Inschrijving!I95</f>
        <v>0</v>
      </c>
      <c r="H95" s="26">
        <f>Inschrijving!J95</f>
        <v>0</v>
      </c>
      <c r="I95" s="44"/>
    </row>
    <row r="96" spans="1:9" x14ac:dyDescent="0.2">
      <c r="A96" s="197">
        <f>Inschrijving!A96</f>
        <v>67</v>
      </c>
      <c r="B96" s="204" t="str">
        <f>Inschrijving!D96</f>
        <v>Panama</v>
      </c>
      <c r="C96" s="106" t="str">
        <f>Inschrijving!E96</f>
        <v>-</v>
      </c>
      <c r="D96" s="105" t="str">
        <f>Inschrijving!F96</f>
        <v>Engeland</v>
      </c>
      <c r="E96" s="23">
        <f>Inschrijving!G96</f>
        <v>0</v>
      </c>
      <c r="F96" s="18" t="str">
        <f>Inschrijving!H96</f>
        <v>-</v>
      </c>
      <c r="G96" s="18">
        <f>Inschrijving!I96</f>
        <v>0</v>
      </c>
      <c r="H96" s="26">
        <f>Inschrijving!J96</f>
        <v>0</v>
      </c>
      <c r="I96" s="44"/>
    </row>
    <row r="97" spans="1:9" x14ac:dyDescent="0.2">
      <c r="A97" s="197">
        <f>Inschrijving!A97</f>
        <v>68</v>
      </c>
      <c r="B97" s="204" t="str">
        <f>Inschrijving!D97</f>
        <v>Kroatië</v>
      </c>
      <c r="C97" s="106" t="str">
        <f>Inschrijving!E97</f>
        <v>-</v>
      </c>
      <c r="D97" s="105" t="str">
        <f>Inschrijving!F97</f>
        <v>Ghana</v>
      </c>
      <c r="E97" s="23">
        <f>Inschrijving!G97</f>
        <v>0</v>
      </c>
      <c r="F97" s="18" t="str">
        <f>Inschrijving!H97</f>
        <v>-</v>
      </c>
      <c r="G97" s="18">
        <f>Inschrijving!I97</f>
        <v>0</v>
      </c>
      <c r="H97" s="18">
        <f>Inschrijving!J97</f>
        <v>0</v>
      </c>
      <c r="I97" s="44"/>
    </row>
    <row r="98" spans="1:9" x14ac:dyDescent="0.2">
      <c r="A98" s="197"/>
      <c r="B98" s="102"/>
      <c r="C98" s="102"/>
      <c r="D98" s="102"/>
      <c r="E98" s="44"/>
      <c r="F98" s="44"/>
      <c r="G98" s="44"/>
      <c r="H98" s="44"/>
      <c r="I98" s="44"/>
    </row>
    <row r="99" spans="1:9" x14ac:dyDescent="0.2">
      <c r="A99" s="197"/>
      <c r="B99" s="102"/>
      <c r="C99" s="102"/>
      <c r="D99" s="102"/>
      <c r="E99" s="44"/>
      <c r="F99" s="44"/>
      <c r="G99" s="44"/>
      <c r="H99" s="44"/>
      <c r="I99" s="44"/>
    </row>
    <row r="100" spans="1:9" x14ac:dyDescent="0.2">
      <c r="A100" s="197"/>
      <c r="B100" s="107" t="str">
        <f>Inschrijving!B99</f>
        <v>Zestiende finales</v>
      </c>
      <c r="C100" s="59"/>
      <c r="D100" s="104"/>
      <c r="E100" s="21" t="str">
        <f>Inschrijving!H100</f>
        <v>Uitslag</v>
      </c>
      <c r="F100" s="21"/>
      <c r="G100" s="21"/>
      <c r="H100" s="22" t="str">
        <f>Inschrijving!J100</f>
        <v>Toto</v>
      </c>
      <c r="I100" s="44"/>
    </row>
    <row r="101" spans="1:9" x14ac:dyDescent="0.2">
      <c r="A101" s="197">
        <f>Inschrijving!A101</f>
        <v>73</v>
      </c>
      <c r="B101" s="204" t="str">
        <f>Inschrijving!D101</f>
        <v>2e poule A</v>
      </c>
      <c r="C101" s="106" t="str">
        <f>Inschrijving!E101</f>
        <v>-</v>
      </c>
      <c r="D101" s="105" t="str">
        <f>Inschrijving!F101</f>
        <v>2e poule B</v>
      </c>
      <c r="E101" s="23">
        <f>Inschrijving!G101</f>
        <v>0</v>
      </c>
      <c r="F101" s="18" t="str">
        <f>Inschrijving!H101</f>
        <v>-</v>
      </c>
      <c r="G101" s="18">
        <f>Inschrijving!I101</f>
        <v>0</v>
      </c>
      <c r="H101" s="18">
        <f>Inschrijving!J101</f>
        <v>0</v>
      </c>
      <c r="I101" s="44" t="str">
        <f>Inschrijving!K101</f>
        <v>ZF1</v>
      </c>
    </row>
    <row r="102" spans="1:9" x14ac:dyDescent="0.2">
      <c r="A102" s="197">
        <f>Inschrijving!A102</f>
        <v>76</v>
      </c>
      <c r="B102" s="204" t="str">
        <f>Inschrijving!D102</f>
        <v>1e poule C</v>
      </c>
      <c r="C102" s="106" t="str">
        <f>Inschrijving!E102</f>
        <v>-</v>
      </c>
      <c r="D102" s="105" t="str">
        <f>Inschrijving!F102</f>
        <v>2e poule F</v>
      </c>
      <c r="E102" s="24">
        <f>Inschrijving!G102</f>
        <v>0</v>
      </c>
      <c r="F102" s="18" t="str">
        <f>Inschrijving!H102</f>
        <v>-</v>
      </c>
      <c r="G102" s="18">
        <f>Inschrijving!I102</f>
        <v>0</v>
      </c>
      <c r="H102" s="18">
        <f>Inschrijving!J102</f>
        <v>0</v>
      </c>
      <c r="I102" s="44" t="str">
        <f>Inschrijving!K102</f>
        <v>ZF2</v>
      </c>
    </row>
    <row r="103" spans="1:9" x14ac:dyDescent="0.2">
      <c r="A103" s="197">
        <f>Inschrijving!A103</f>
        <v>74</v>
      </c>
      <c r="B103" s="204" t="str">
        <f>Inschrijving!D103</f>
        <v>1e poule E</v>
      </c>
      <c r="C103" s="106" t="str">
        <f>Inschrijving!E103</f>
        <v>-</v>
      </c>
      <c r="D103" s="105" t="str">
        <f>Inschrijving!F103</f>
        <v>3e Poule ABCDF</v>
      </c>
      <c r="E103" s="23">
        <f>Inschrijving!G103</f>
        <v>0</v>
      </c>
      <c r="F103" s="18" t="str">
        <f>Inschrijving!H103</f>
        <v>-</v>
      </c>
      <c r="G103" s="18">
        <f>Inschrijving!I103</f>
        <v>0</v>
      </c>
      <c r="H103" s="25">
        <f>Inschrijving!J103</f>
        <v>0</v>
      </c>
      <c r="I103" s="44" t="str">
        <f>Inschrijving!K103</f>
        <v>ZF3</v>
      </c>
    </row>
    <row r="104" spans="1:9" x14ac:dyDescent="0.2">
      <c r="A104" s="197">
        <f>Inschrijving!A104</f>
        <v>75</v>
      </c>
      <c r="B104" s="204" t="str">
        <f>Inschrijving!D104</f>
        <v>1e poule F</v>
      </c>
      <c r="C104" s="106" t="str">
        <f>Inschrijving!E104</f>
        <v>-</v>
      </c>
      <c r="D104" s="105" t="str">
        <f>Inschrijving!F104</f>
        <v>2e poule C</v>
      </c>
      <c r="E104" s="23">
        <f>Inschrijving!G104</f>
        <v>0</v>
      </c>
      <c r="F104" s="18" t="str">
        <f>Inschrijving!H104</f>
        <v>-</v>
      </c>
      <c r="G104" s="18">
        <f>Inschrijving!I104</f>
        <v>0</v>
      </c>
      <c r="H104" s="26">
        <f>Inschrijving!J104</f>
        <v>0</v>
      </c>
      <c r="I104" s="44" t="str">
        <f>Inschrijving!K104</f>
        <v>ZF4</v>
      </c>
    </row>
    <row r="105" spans="1:9" x14ac:dyDescent="0.2">
      <c r="A105" s="197">
        <f>Inschrijving!A105</f>
        <v>78</v>
      </c>
      <c r="B105" s="204" t="str">
        <f>Inschrijving!D105</f>
        <v>2e poule E</v>
      </c>
      <c r="C105" s="106" t="str">
        <f>Inschrijving!E105</f>
        <v>-</v>
      </c>
      <c r="D105" s="105" t="str">
        <f>Inschrijving!F105</f>
        <v>2e poule I</v>
      </c>
      <c r="E105" s="23">
        <f>Inschrijving!G105</f>
        <v>0</v>
      </c>
      <c r="F105" s="18" t="str">
        <f>Inschrijving!H105</f>
        <v>-</v>
      </c>
      <c r="G105" s="18">
        <f>Inschrijving!I105</f>
        <v>0</v>
      </c>
      <c r="H105" s="26">
        <f>Inschrijving!J105</f>
        <v>0</v>
      </c>
      <c r="I105" s="44" t="str">
        <f>Inschrijving!K105</f>
        <v>ZF5</v>
      </c>
    </row>
    <row r="106" spans="1:9" x14ac:dyDescent="0.2">
      <c r="A106" s="197">
        <f>Inschrijving!A106</f>
        <v>77</v>
      </c>
      <c r="B106" s="204" t="str">
        <f>Inschrijving!D106</f>
        <v>1e poule I</v>
      </c>
      <c r="C106" s="106" t="str">
        <f>Inschrijving!E106</f>
        <v>-</v>
      </c>
      <c r="D106" s="105" t="str">
        <f>Inschrijving!F106</f>
        <v>3e Poule CDFGH</v>
      </c>
      <c r="E106" s="23">
        <f>Inschrijving!G106</f>
        <v>0</v>
      </c>
      <c r="F106" s="18" t="str">
        <f>Inschrijving!H106</f>
        <v>-</v>
      </c>
      <c r="G106" s="18">
        <f>Inschrijving!I106</f>
        <v>0</v>
      </c>
      <c r="H106" s="18">
        <f>Inschrijving!J106</f>
        <v>0</v>
      </c>
      <c r="I106" s="44" t="str">
        <f>Inschrijving!K106</f>
        <v>ZF6</v>
      </c>
    </row>
    <row r="107" spans="1:9" x14ac:dyDescent="0.2">
      <c r="A107" s="197">
        <f>Inschrijving!A107</f>
        <v>79</v>
      </c>
      <c r="B107" s="204" t="str">
        <f>Inschrijving!D107</f>
        <v>1e poule A</v>
      </c>
      <c r="C107" s="106" t="str">
        <f>Inschrijving!E107</f>
        <v>-</v>
      </c>
      <c r="D107" s="105" t="str">
        <f>Inschrijving!F107</f>
        <v>3e Poule CEFHI</v>
      </c>
      <c r="E107" s="23">
        <f>Inschrijving!G107</f>
        <v>0</v>
      </c>
      <c r="F107" s="18" t="str">
        <f>Inschrijving!H107</f>
        <v>-</v>
      </c>
      <c r="G107" s="18">
        <f>Inschrijving!I107</f>
        <v>0</v>
      </c>
      <c r="H107" s="18">
        <f>Inschrijving!J107</f>
        <v>0</v>
      </c>
      <c r="I107" s="44" t="str">
        <f>Inschrijving!K107</f>
        <v>ZF7</v>
      </c>
    </row>
    <row r="108" spans="1:9" x14ac:dyDescent="0.2">
      <c r="A108" s="197">
        <f>Inschrijving!A108</f>
        <v>80</v>
      </c>
      <c r="B108" s="204" t="str">
        <f>Inschrijving!D108</f>
        <v>1e poule L</v>
      </c>
      <c r="C108" s="106" t="str">
        <f>Inschrijving!E108</f>
        <v>-</v>
      </c>
      <c r="D108" s="105" t="str">
        <f>Inschrijving!F108</f>
        <v>3e Poule EHIJK</v>
      </c>
      <c r="E108" s="24">
        <f>Inschrijving!G108</f>
        <v>0</v>
      </c>
      <c r="F108" s="18" t="str">
        <f>Inschrijving!H108</f>
        <v>-</v>
      </c>
      <c r="G108" s="18">
        <f>Inschrijving!I108</f>
        <v>0</v>
      </c>
      <c r="H108" s="18">
        <f>Inschrijving!J108</f>
        <v>0</v>
      </c>
      <c r="I108" s="44" t="str">
        <f>Inschrijving!K108</f>
        <v>ZF8</v>
      </c>
    </row>
    <row r="109" spans="1:9" x14ac:dyDescent="0.2">
      <c r="A109" s="197">
        <f>Inschrijving!A109</f>
        <v>82</v>
      </c>
      <c r="B109" s="204" t="str">
        <f>Inschrijving!D109</f>
        <v>1e poule G</v>
      </c>
      <c r="C109" s="106" t="str">
        <f>Inschrijving!E109</f>
        <v>-</v>
      </c>
      <c r="D109" s="105" t="str">
        <f>Inschrijving!F109</f>
        <v>3e Poule AEHIJ</v>
      </c>
      <c r="E109" s="23">
        <f>Inschrijving!G109</f>
        <v>0</v>
      </c>
      <c r="F109" s="18" t="str">
        <f>Inschrijving!H109</f>
        <v>-</v>
      </c>
      <c r="G109" s="18">
        <f>Inschrijving!I109</f>
        <v>0</v>
      </c>
      <c r="H109" s="25">
        <f>Inschrijving!J109</f>
        <v>0</v>
      </c>
      <c r="I109" s="44" t="str">
        <f>Inschrijving!K109</f>
        <v>ZF9</v>
      </c>
    </row>
    <row r="110" spans="1:9" x14ac:dyDescent="0.2">
      <c r="A110" s="197">
        <f>Inschrijving!A110</f>
        <v>81</v>
      </c>
      <c r="B110" s="204" t="str">
        <f>Inschrijving!D110</f>
        <v>1e poule D</v>
      </c>
      <c r="C110" s="106" t="str">
        <f>Inschrijving!E110</f>
        <v>-</v>
      </c>
      <c r="D110" s="105" t="str">
        <f>Inschrijving!F110</f>
        <v>3e Poule BEFIJ</v>
      </c>
      <c r="E110" s="23">
        <f>Inschrijving!G110</f>
        <v>0</v>
      </c>
      <c r="F110" s="18" t="str">
        <f>Inschrijving!H110</f>
        <v>-</v>
      </c>
      <c r="G110" s="18">
        <f>Inschrijving!I110</f>
        <v>0</v>
      </c>
      <c r="H110" s="26">
        <f>Inschrijving!J110</f>
        <v>0</v>
      </c>
      <c r="I110" s="44" t="str">
        <f>Inschrijving!K110</f>
        <v>ZF10</v>
      </c>
    </row>
    <row r="111" spans="1:9" x14ac:dyDescent="0.2">
      <c r="A111" s="197">
        <f>Inschrijving!A111</f>
        <v>84</v>
      </c>
      <c r="B111" s="204" t="str">
        <f>Inschrijving!D111</f>
        <v>1e poule H</v>
      </c>
      <c r="C111" s="106" t="str">
        <f>Inschrijving!E111</f>
        <v>-</v>
      </c>
      <c r="D111" s="105" t="str">
        <f>Inschrijving!F111</f>
        <v>2e poule J</v>
      </c>
      <c r="E111" s="23">
        <f>Inschrijving!G111</f>
        <v>0</v>
      </c>
      <c r="F111" s="18" t="str">
        <f>Inschrijving!H111</f>
        <v>-</v>
      </c>
      <c r="G111" s="18">
        <f>Inschrijving!I111</f>
        <v>0</v>
      </c>
      <c r="H111" s="26">
        <f>Inschrijving!J111</f>
        <v>0</v>
      </c>
      <c r="I111" s="44" t="str">
        <f>Inschrijving!K111</f>
        <v>ZF11</v>
      </c>
    </row>
    <row r="112" spans="1:9" x14ac:dyDescent="0.2">
      <c r="A112" s="197">
        <f>Inschrijving!A112</f>
        <v>83</v>
      </c>
      <c r="B112" s="204" t="str">
        <f>Inschrijving!D112</f>
        <v>2e poule K</v>
      </c>
      <c r="C112" s="106" t="str">
        <f>Inschrijving!E112</f>
        <v>-</v>
      </c>
      <c r="D112" s="105" t="str">
        <f>Inschrijving!F112</f>
        <v>2e poule L</v>
      </c>
      <c r="E112" s="23">
        <f>Inschrijving!G112</f>
        <v>0</v>
      </c>
      <c r="F112" s="18" t="str">
        <f>Inschrijving!H112</f>
        <v>-</v>
      </c>
      <c r="G112" s="18">
        <f>Inschrijving!I112</f>
        <v>0</v>
      </c>
      <c r="H112" s="18">
        <f>Inschrijving!J112</f>
        <v>0</v>
      </c>
      <c r="I112" s="44" t="str">
        <f>Inschrijving!K112</f>
        <v>ZF12</v>
      </c>
    </row>
    <row r="113" spans="1:9" x14ac:dyDescent="0.2">
      <c r="A113" s="197">
        <f>Inschrijving!A113</f>
        <v>85</v>
      </c>
      <c r="B113" s="204" t="str">
        <f>Inschrijving!D113</f>
        <v>1e poule B</v>
      </c>
      <c r="C113" s="106" t="str">
        <f>Inschrijving!E113</f>
        <v>-</v>
      </c>
      <c r="D113" s="105" t="str">
        <f>Inschrijving!F113</f>
        <v>3e Poule EFGIJ</v>
      </c>
      <c r="E113" s="23">
        <f>Inschrijving!G113</f>
        <v>0</v>
      </c>
      <c r="F113" s="18" t="str">
        <f>Inschrijving!H113</f>
        <v>-</v>
      </c>
      <c r="G113" s="18">
        <f>Inschrijving!I113</f>
        <v>0</v>
      </c>
      <c r="H113" s="25">
        <f>Inschrijving!J113</f>
        <v>0</v>
      </c>
      <c r="I113" s="44" t="str">
        <f>Inschrijving!K113</f>
        <v>ZF13</v>
      </c>
    </row>
    <row r="114" spans="1:9" x14ac:dyDescent="0.2">
      <c r="A114" s="197">
        <f>Inschrijving!A114</f>
        <v>88</v>
      </c>
      <c r="B114" s="204" t="str">
        <f>Inschrijving!D114</f>
        <v>2e poule D</v>
      </c>
      <c r="C114" s="106" t="str">
        <f>Inschrijving!E114</f>
        <v>-</v>
      </c>
      <c r="D114" s="105" t="str">
        <f>Inschrijving!F114</f>
        <v>2e poule G</v>
      </c>
      <c r="E114" s="23">
        <f>Inschrijving!G114</f>
        <v>0</v>
      </c>
      <c r="F114" s="18" t="str">
        <f>Inschrijving!H114</f>
        <v>-</v>
      </c>
      <c r="G114" s="18">
        <f>Inschrijving!I114</f>
        <v>0</v>
      </c>
      <c r="H114" s="26">
        <f>Inschrijving!J114</f>
        <v>0</v>
      </c>
      <c r="I114" s="44" t="str">
        <f>Inschrijving!K114</f>
        <v>ZF14</v>
      </c>
    </row>
    <row r="115" spans="1:9" x14ac:dyDescent="0.2">
      <c r="A115" s="197">
        <f>Inschrijving!A115</f>
        <v>86</v>
      </c>
      <c r="B115" s="204" t="str">
        <f>Inschrijving!D115</f>
        <v>1e poule J</v>
      </c>
      <c r="C115" s="106" t="str">
        <f>Inschrijving!E115</f>
        <v>-</v>
      </c>
      <c r="D115" s="105" t="str">
        <f>Inschrijving!F115</f>
        <v>2e poule H</v>
      </c>
      <c r="E115" s="23">
        <f>Inschrijving!G115</f>
        <v>0</v>
      </c>
      <c r="F115" s="18" t="str">
        <f>Inschrijving!H115</f>
        <v>-</v>
      </c>
      <c r="G115" s="18">
        <f>Inschrijving!I115</f>
        <v>0</v>
      </c>
      <c r="H115" s="26">
        <f>Inschrijving!J115</f>
        <v>0</v>
      </c>
      <c r="I115" s="44" t="str">
        <f>Inschrijving!K115</f>
        <v>ZF15</v>
      </c>
    </row>
    <row r="116" spans="1:9" x14ac:dyDescent="0.2">
      <c r="A116" s="197">
        <f>Inschrijving!A116</f>
        <v>87</v>
      </c>
      <c r="B116" s="204" t="str">
        <f>Inschrijving!D116</f>
        <v>1e poule K</v>
      </c>
      <c r="C116" s="106" t="str">
        <f>Inschrijving!E116</f>
        <v>-</v>
      </c>
      <c r="D116" s="105" t="str">
        <f>Inschrijving!F116</f>
        <v>3e Poule DEIJL</v>
      </c>
      <c r="E116" s="23">
        <f>Inschrijving!G116</f>
        <v>0</v>
      </c>
      <c r="F116" s="18" t="str">
        <f>Inschrijving!H116</f>
        <v>-</v>
      </c>
      <c r="G116" s="18">
        <f>Inschrijving!I116</f>
        <v>0</v>
      </c>
      <c r="H116" s="18">
        <f>Inschrijving!J116</f>
        <v>0</v>
      </c>
      <c r="I116" s="44" t="str">
        <f>Inschrijving!K116</f>
        <v>ZF16</v>
      </c>
    </row>
    <row r="117" spans="1:9" x14ac:dyDescent="0.2">
      <c r="A117" s="197"/>
      <c r="B117" s="102"/>
      <c r="C117" s="102"/>
      <c r="D117" s="102"/>
      <c r="E117" s="44"/>
      <c r="F117" s="44"/>
      <c r="G117" s="44"/>
      <c r="H117" s="44"/>
      <c r="I117" s="44"/>
    </row>
    <row r="118" spans="1:9" x14ac:dyDescent="0.2">
      <c r="A118" s="197"/>
      <c r="B118" s="102"/>
      <c r="C118" s="102"/>
      <c r="D118" s="102"/>
      <c r="E118" s="44"/>
      <c r="F118" s="44"/>
      <c r="G118" s="44"/>
      <c r="H118" s="44"/>
      <c r="I118" s="44"/>
    </row>
    <row r="119" spans="1:9" x14ac:dyDescent="0.2">
      <c r="A119" s="197"/>
      <c r="B119" s="107" t="str">
        <f>Inschrijving!B118</f>
        <v>Achtste finales</v>
      </c>
      <c r="C119" s="59"/>
      <c r="D119" s="104"/>
      <c r="E119" s="21" t="str">
        <f>Inschrijving!H119</f>
        <v>Uitslag</v>
      </c>
      <c r="F119" s="21"/>
      <c r="G119" s="21"/>
      <c r="H119" s="22" t="str">
        <f>Inschrijving!J119</f>
        <v>Toto</v>
      </c>
      <c r="I119" s="44"/>
    </row>
    <row r="120" spans="1:9" x14ac:dyDescent="0.2">
      <c r="A120" s="197">
        <f>Inschrijving!A120</f>
        <v>90</v>
      </c>
      <c r="B120" s="206" t="str">
        <f>Inschrijving!D120</f>
        <v>vul winnaar in ZF1</v>
      </c>
      <c r="C120" s="109" t="str">
        <f>Inschrijving!E120</f>
        <v>-</v>
      </c>
      <c r="D120" s="110" t="str">
        <f>Inschrijving!F120</f>
        <v>vul winnaar in ZF4</v>
      </c>
      <c r="E120" s="23">
        <f>Inschrijving!G120</f>
        <v>0</v>
      </c>
      <c r="F120" s="18" t="str">
        <f>Inschrijving!H120</f>
        <v>-</v>
      </c>
      <c r="G120" s="18">
        <f>Inschrijving!I120</f>
        <v>0</v>
      </c>
      <c r="H120" s="18">
        <f>Inschrijving!J120</f>
        <v>0</v>
      </c>
      <c r="I120" s="44" t="str">
        <f>Inschrijving!K120</f>
        <v>AF1</v>
      </c>
    </row>
    <row r="121" spans="1:9" x14ac:dyDescent="0.2">
      <c r="A121" s="197">
        <f>Inschrijving!A121</f>
        <v>89</v>
      </c>
      <c r="B121" s="206" t="str">
        <f>Inschrijving!D121</f>
        <v>vul winnaar in ZF3</v>
      </c>
      <c r="C121" s="109" t="str">
        <f>Inschrijving!E121</f>
        <v>-</v>
      </c>
      <c r="D121" s="110" t="str">
        <f>Inschrijving!F121</f>
        <v>vul winnaar in ZF6</v>
      </c>
      <c r="E121" s="24">
        <f>Inschrijving!G121</f>
        <v>0</v>
      </c>
      <c r="F121" s="18" t="str">
        <f>Inschrijving!H121</f>
        <v>-</v>
      </c>
      <c r="G121" s="18">
        <f>Inschrijving!I121</f>
        <v>0</v>
      </c>
      <c r="H121" s="18">
        <f>Inschrijving!J121</f>
        <v>0</v>
      </c>
      <c r="I121" s="44" t="str">
        <f>Inschrijving!K121</f>
        <v>AF2</v>
      </c>
    </row>
    <row r="122" spans="1:9" x14ac:dyDescent="0.2">
      <c r="A122" s="197">
        <f>Inschrijving!A122</f>
        <v>91</v>
      </c>
      <c r="B122" s="206" t="str">
        <f>Inschrijving!D122</f>
        <v>vul winnaar in ZF2</v>
      </c>
      <c r="C122" s="109" t="str">
        <f>Inschrijving!E122</f>
        <v>-</v>
      </c>
      <c r="D122" s="110" t="str">
        <f>Inschrijving!F122</f>
        <v>vul winnaar in ZF5</v>
      </c>
      <c r="E122" s="27">
        <f>Inschrijving!G122</f>
        <v>0</v>
      </c>
      <c r="F122" s="18" t="str">
        <f>Inschrijving!H122</f>
        <v>-</v>
      </c>
      <c r="G122" s="18">
        <f>Inschrijving!I122</f>
        <v>0</v>
      </c>
      <c r="H122" s="18">
        <f>Inschrijving!J122</f>
        <v>0</v>
      </c>
      <c r="I122" s="44" t="str">
        <f>Inschrijving!K122</f>
        <v>AF3</v>
      </c>
    </row>
    <row r="123" spans="1:9" x14ac:dyDescent="0.2">
      <c r="A123" s="197">
        <f>Inschrijving!A123</f>
        <v>92</v>
      </c>
      <c r="B123" s="206" t="str">
        <f>Inschrijving!D123</f>
        <v>vul winnaar in ZF7</v>
      </c>
      <c r="C123" s="109" t="str">
        <f>Inschrijving!E123</f>
        <v>-</v>
      </c>
      <c r="D123" s="110" t="str">
        <f>Inschrijving!F123</f>
        <v>vul winnaar in ZF8</v>
      </c>
      <c r="E123" s="23">
        <f>Inschrijving!G123</f>
        <v>0</v>
      </c>
      <c r="F123" s="18" t="str">
        <f>Inschrijving!H123</f>
        <v>-</v>
      </c>
      <c r="G123" s="18">
        <f>Inschrijving!I123</f>
        <v>0</v>
      </c>
      <c r="H123" s="18">
        <f>Inschrijving!J123</f>
        <v>0</v>
      </c>
      <c r="I123" s="44" t="str">
        <f>Inschrijving!K123</f>
        <v>AF4</v>
      </c>
    </row>
    <row r="124" spans="1:9" x14ac:dyDescent="0.2">
      <c r="A124" s="197">
        <f>Inschrijving!A124</f>
        <v>93</v>
      </c>
      <c r="B124" s="206" t="str">
        <f>Inschrijving!D124</f>
        <v>vul winnaar in ZF12</v>
      </c>
      <c r="C124" s="109" t="str">
        <f>Inschrijving!E124</f>
        <v>-</v>
      </c>
      <c r="D124" s="110" t="str">
        <f>Inschrijving!F124</f>
        <v>vul winnaar in ZF11</v>
      </c>
      <c r="E124" s="23">
        <f>Inschrijving!G124</f>
        <v>0</v>
      </c>
      <c r="F124" s="18" t="str">
        <f>Inschrijving!H124</f>
        <v>-</v>
      </c>
      <c r="G124" s="18">
        <f>Inschrijving!I124</f>
        <v>0</v>
      </c>
      <c r="H124" s="18">
        <f>Inschrijving!J124</f>
        <v>0</v>
      </c>
      <c r="I124" s="43" t="str">
        <f>Inschrijving!K124</f>
        <v>AF5</v>
      </c>
    </row>
    <row r="125" spans="1:9" x14ac:dyDescent="0.2">
      <c r="A125" s="197">
        <f>Inschrijving!A125</f>
        <v>94</v>
      </c>
      <c r="B125" s="206" t="str">
        <f>Inschrijving!D125</f>
        <v>vul winnaar in ZF10</v>
      </c>
      <c r="C125" s="109" t="str">
        <f>Inschrijving!E125</f>
        <v>-</v>
      </c>
      <c r="D125" s="110" t="str">
        <f>Inschrijving!F125</f>
        <v>vul winnaar in ZF9</v>
      </c>
      <c r="E125" s="23">
        <f>Inschrijving!G125</f>
        <v>0</v>
      </c>
      <c r="F125" s="18" t="str">
        <f>Inschrijving!H125</f>
        <v>-</v>
      </c>
      <c r="G125" s="18">
        <f>Inschrijving!I125</f>
        <v>0</v>
      </c>
      <c r="H125" s="18">
        <f>Inschrijving!J125</f>
        <v>0</v>
      </c>
      <c r="I125" s="43" t="str">
        <f>Inschrijving!K125</f>
        <v>AF6</v>
      </c>
    </row>
    <row r="126" spans="1:9" x14ac:dyDescent="0.2">
      <c r="A126" s="197">
        <f>Inschrijving!A126</f>
        <v>95</v>
      </c>
      <c r="B126" s="206" t="str">
        <f>Inschrijving!D126</f>
        <v>vul winnaar in ZF15</v>
      </c>
      <c r="C126" s="109" t="str">
        <f>Inschrijving!E126</f>
        <v>-</v>
      </c>
      <c r="D126" s="110" t="str">
        <f>Inschrijving!F126</f>
        <v>vul winnaar in ZF14</v>
      </c>
      <c r="E126" s="23">
        <f>Inschrijving!G126</f>
        <v>0</v>
      </c>
      <c r="F126" s="18" t="str">
        <f>Inschrijving!H126</f>
        <v>-</v>
      </c>
      <c r="G126" s="18">
        <f>Inschrijving!I126</f>
        <v>0</v>
      </c>
      <c r="H126" s="18">
        <f>Inschrijving!J126</f>
        <v>0</v>
      </c>
      <c r="I126" s="43" t="str">
        <f>Inschrijving!K126</f>
        <v>AF7</v>
      </c>
    </row>
    <row r="127" spans="1:9" x14ac:dyDescent="0.2">
      <c r="A127" s="197">
        <f>Inschrijving!A127</f>
        <v>96</v>
      </c>
      <c r="B127" s="206" t="str">
        <f>Inschrijving!D127</f>
        <v>vul winnaar in ZF13</v>
      </c>
      <c r="C127" s="109" t="str">
        <f>Inschrijving!E127</f>
        <v>-</v>
      </c>
      <c r="D127" s="110" t="str">
        <f>Inschrijving!F127</f>
        <v>vul winnaar in ZF16</v>
      </c>
      <c r="E127" s="23">
        <f>Inschrijving!G127</f>
        <v>0</v>
      </c>
      <c r="F127" s="18" t="str">
        <f>Inschrijving!H127</f>
        <v>-</v>
      </c>
      <c r="G127" s="18">
        <f>Inschrijving!I127</f>
        <v>0</v>
      </c>
      <c r="H127" s="18">
        <f>Inschrijving!J127</f>
        <v>0</v>
      </c>
      <c r="I127" s="43" t="str">
        <f>Inschrijving!K127</f>
        <v>AF8</v>
      </c>
    </row>
    <row r="128" spans="1:9" x14ac:dyDescent="0.2">
      <c r="A128" s="197"/>
      <c r="B128" s="46"/>
      <c r="C128" s="46"/>
      <c r="D128" s="46"/>
      <c r="E128" s="47"/>
      <c r="F128" s="47"/>
      <c r="G128" s="47"/>
      <c r="H128" s="47"/>
      <c r="I128" s="44"/>
    </row>
    <row r="129" spans="1:9" x14ac:dyDescent="0.2">
      <c r="A129" s="197"/>
      <c r="B129" s="111"/>
      <c r="C129" s="112"/>
      <c r="D129" s="111"/>
      <c r="E129" s="47"/>
      <c r="F129" s="47"/>
      <c r="G129" s="47"/>
      <c r="H129" s="47"/>
      <c r="I129" s="44"/>
    </row>
    <row r="130" spans="1:9" x14ac:dyDescent="0.2">
      <c r="A130" s="197"/>
      <c r="B130" s="107" t="str">
        <f>Inschrijving!B129</f>
        <v>Kwartfinales</v>
      </c>
      <c r="C130" s="59"/>
      <c r="D130" s="104"/>
      <c r="E130" s="21" t="str">
        <f>Inschrijving!H130</f>
        <v>Uitslag</v>
      </c>
      <c r="F130" s="21"/>
      <c r="G130" s="21"/>
      <c r="H130" s="22" t="str">
        <f>Inschrijving!J130</f>
        <v>Toto</v>
      </c>
      <c r="I130" s="44"/>
    </row>
    <row r="131" spans="1:9" x14ac:dyDescent="0.2">
      <c r="A131" s="197">
        <f>Inschrijving!A131</f>
        <v>97</v>
      </c>
      <c r="B131" s="206" t="str">
        <f>Inschrijving!D131</f>
        <v>vul winnaar in AF2</v>
      </c>
      <c r="C131" s="109" t="str">
        <f>Inschrijving!E131</f>
        <v>-</v>
      </c>
      <c r="D131" s="110" t="str">
        <f>Inschrijving!F131</f>
        <v>vul winnaar in AF1</v>
      </c>
      <c r="E131" s="23">
        <f>Inschrijving!G131</f>
        <v>0</v>
      </c>
      <c r="F131" s="18" t="str">
        <f>Inschrijving!H131</f>
        <v>-</v>
      </c>
      <c r="G131" s="18">
        <f>Inschrijving!I131</f>
        <v>0</v>
      </c>
      <c r="H131" s="18">
        <f>Inschrijving!J131</f>
        <v>0</v>
      </c>
      <c r="I131" s="44" t="str">
        <f>Inschrijving!K131</f>
        <v>KF1</v>
      </c>
    </row>
    <row r="132" spans="1:9" x14ac:dyDescent="0.2">
      <c r="A132" s="197">
        <f>Inschrijving!A132</f>
        <v>98</v>
      </c>
      <c r="B132" s="206" t="str">
        <f>Inschrijving!D132</f>
        <v>vul winnaar in AF5</v>
      </c>
      <c r="C132" s="109" t="str">
        <f>Inschrijving!E132</f>
        <v>-</v>
      </c>
      <c r="D132" s="110" t="str">
        <f>Inschrijving!F132</f>
        <v>vul winnaar in AF6</v>
      </c>
      <c r="E132" s="23">
        <f>Inschrijving!G132</f>
        <v>0</v>
      </c>
      <c r="F132" s="18" t="str">
        <f>Inschrijving!H132</f>
        <v>-</v>
      </c>
      <c r="G132" s="18">
        <f>Inschrijving!I132</f>
        <v>0</v>
      </c>
      <c r="H132" s="18">
        <f>Inschrijving!J132</f>
        <v>0</v>
      </c>
      <c r="I132" s="44" t="str">
        <f>Inschrijving!K132</f>
        <v>KF2</v>
      </c>
    </row>
    <row r="133" spans="1:9" x14ac:dyDescent="0.2">
      <c r="A133" s="197">
        <f>Inschrijving!A133</f>
        <v>99</v>
      </c>
      <c r="B133" s="206" t="str">
        <f>Inschrijving!D133</f>
        <v>vul winnaar in AF3</v>
      </c>
      <c r="C133" s="109" t="str">
        <f>Inschrijving!E133</f>
        <v>-</v>
      </c>
      <c r="D133" s="108" t="str">
        <f>Inschrijving!F133</f>
        <v>vul winnaar in AF4</v>
      </c>
      <c r="E133" s="23">
        <f>Inschrijving!G133</f>
        <v>0</v>
      </c>
      <c r="F133" s="18" t="str">
        <f>Inschrijving!H133</f>
        <v>-</v>
      </c>
      <c r="G133" s="18">
        <f>Inschrijving!I133</f>
        <v>0</v>
      </c>
      <c r="H133" s="18">
        <f>Inschrijving!J133</f>
        <v>0</v>
      </c>
      <c r="I133" s="44" t="str">
        <f>Inschrijving!K133</f>
        <v>KF3</v>
      </c>
    </row>
    <row r="134" spans="1:9" x14ac:dyDescent="0.2">
      <c r="A134" s="197">
        <f>Inschrijving!A134</f>
        <v>100</v>
      </c>
      <c r="B134" s="206" t="str">
        <f>Inschrijving!D134</f>
        <v>vul winnaar in AF7</v>
      </c>
      <c r="C134" s="109" t="str">
        <f>Inschrijving!E134</f>
        <v>-</v>
      </c>
      <c r="D134" s="110" t="str">
        <f>Inschrijving!F134</f>
        <v>vul winnaar in AF8</v>
      </c>
      <c r="E134" s="23">
        <f>Inschrijving!G134</f>
        <v>0</v>
      </c>
      <c r="F134" s="18" t="str">
        <f>Inschrijving!H134</f>
        <v>-</v>
      </c>
      <c r="G134" s="18">
        <f>Inschrijving!I134</f>
        <v>0</v>
      </c>
      <c r="H134" s="18">
        <f>Inschrijving!J134</f>
        <v>0</v>
      </c>
      <c r="I134" s="44" t="str">
        <f>Inschrijving!K134</f>
        <v>KF4</v>
      </c>
    </row>
    <row r="135" spans="1:9" x14ac:dyDescent="0.2">
      <c r="A135" s="197"/>
      <c r="B135" s="46"/>
      <c r="C135" s="46"/>
      <c r="D135" s="46"/>
      <c r="E135" s="47"/>
      <c r="F135" s="47"/>
      <c r="G135" s="47"/>
      <c r="H135" s="47"/>
      <c r="I135" s="44"/>
    </row>
    <row r="136" spans="1:9" x14ac:dyDescent="0.2">
      <c r="A136" s="197"/>
      <c r="B136" s="111"/>
      <c r="C136" s="112"/>
      <c r="D136" s="111"/>
      <c r="E136" s="47"/>
      <c r="F136" s="47"/>
      <c r="G136" s="47"/>
      <c r="H136" s="47"/>
      <c r="I136" s="44"/>
    </row>
    <row r="137" spans="1:9" x14ac:dyDescent="0.2">
      <c r="A137" s="197"/>
      <c r="B137" s="107" t="str">
        <f>Inschrijving!B136</f>
        <v>Halve finales</v>
      </c>
      <c r="C137" s="59"/>
      <c r="D137" s="104"/>
      <c r="E137" s="21" t="str">
        <f>Inschrijving!H137</f>
        <v>Uitslag</v>
      </c>
      <c r="F137" s="21"/>
      <c r="G137" s="21"/>
      <c r="H137" s="22" t="str">
        <f>Inschrijving!J137</f>
        <v>Toto</v>
      </c>
      <c r="I137" s="44"/>
    </row>
    <row r="138" spans="1:9" x14ac:dyDescent="0.2">
      <c r="A138" s="197">
        <f>Inschrijving!A138</f>
        <v>101</v>
      </c>
      <c r="B138" s="206" t="str">
        <f>Inschrijving!D138</f>
        <v>vul winnaar in KF1</v>
      </c>
      <c r="C138" s="109" t="str">
        <f>Inschrijving!E138</f>
        <v>-</v>
      </c>
      <c r="D138" s="108" t="str">
        <f>Inschrijving!F138</f>
        <v>vul winnaar in KF2</v>
      </c>
      <c r="E138" s="23">
        <f>Inschrijving!G138</f>
        <v>0</v>
      </c>
      <c r="F138" s="18" t="str">
        <f>Inschrijving!H138</f>
        <v>-</v>
      </c>
      <c r="G138" s="18">
        <f>Inschrijving!I138</f>
        <v>0</v>
      </c>
      <c r="H138" s="18">
        <f>Inschrijving!J138</f>
        <v>0</v>
      </c>
      <c r="I138" s="44" t="str">
        <f>Inschrijving!K138</f>
        <v>HF1</v>
      </c>
    </row>
    <row r="139" spans="1:9" x14ac:dyDescent="0.2">
      <c r="A139" s="197">
        <f>Inschrijving!A139</f>
        <v>102</v>
      </c>
      <c r="B139" s="206" t="str">
        <f>Inschrijving!D139</f>
        <v>vul winnaar in KF3</v>
      </c>
      <c r="C139" s="109" t="str">
        <f>Inschrijving!E139</f>
        <v>-</v>
      </c>
      <c r="D139" s="110" t="str">
        <f>Inschrijving!F139</f>
        <v>vul winnaar in KF4</v>
      </c>
      <c r="E139" s="23">
        <f>Inschrijving!G139</f>
        <v>0</v>
      </c>
      <c r="F139" s="18" t="str">
        <f>Inschrijving!H139</f>
        <v>-</v>
      </c>
      <c r="G139" s="18">
        <f>Inschrijving!I139</f>
        <v>0</v>
      </c>
      <c r="H139" s="18">
        <f>Inschrijving!J139</f>
        <v>0</v>
      </c>
      <c r="I139" s="44" t="str">
        <f>Inschrijving!K139</f>
        <v>HF2</v>
      </c>
    </row>
    <row r="140" spans="1:9" x14ac:dyDescent="0.2">
      <c r="A140" s="197"/>
      <c r="B140" s="111"/>
      <c r="C140" s="112"/>
      <c r="D140" s="111"/>
      <c r="E140" s="47"/>
      <c r="F140" s="47"/>
      <c r="G140" s="47"/>
      <c r="H140" s="47"/>
      <c r="I140" s="44"/>
    </row>
    <row r="141" spans="1:9" x14ac:dyDescent="0.2">
      <c r="A141" s="197"/>
      <c r="B141" s="45"/>
      <c r="C141" s="112"/>
      <c r="D141" s="111"/>
      <c r="E141" s="47"/>
      <c r="F141" s="47"/>
      <c r="G141" s="47"/>
      <c r="H141" s="47"/>
      <c r="I141" s="44"/>
    </row>
    <row r="142" spans="1:9" x14ac:dyDescent="0.2">
      <c r="A142" s="197"/>
      <c r="B142" s="107" t="str">
        <f>Inschrijving!B141</f>
        <v>3e plaats</v>
      </c>
      <c r="C142" s="59"/>
      <c r="D142" s="104"/>
      <c r="E142" s="21" t="str">
        <f>Inschrijving!H142</f>
        <v>Uitslag</v>
      </c>
      <c r="F142" s="21"/>
      <c r="G142" s="21"/>
      <c r="H142" s="22" t="str">
        <f>Inschrijving!J142</f>
        <v>Toto</v>
      </c>
      <c r="I142" s="44"/>
    </row>
    <row r="143" spans="1:9" x14ac:dyDescent="0.2">
      <c r="A143" s="197">
        <f>Inschrijving!A143</f>
        <v>103</v>
      </c>
      <c r="B143" s="206" t="str">
        <f>Inschrijving!D143</f>
        <v>vul verliezer in HF1</v>
      </c>
      <c r="C143" s="109" t="str">
        <f>Inschrijving!E143</f>
        <v>-</v>
      </c>
      <c r="D143" s="110" t="str">
        <f>Inschrijving!F143</f>
        <v>vul verliezer in HF2</v>
      </c>
      <c r="E143" s="23">
        <f>Inschrijving!G143</f>
        <v>0</v>
      </c>
      <c r="F143" s="18" t="str">
        <f>Inschrijving!H143</f>
        <v>-</v>
      </c>
      <c r="G143" s="18">
        <f>Inschrijving!I143</f>
        <v>0</v>
      </c>
      <c r="H143" s="18">
        <f>Inschrijving!J143</f>
        <v>0</v>
      </c>
      <c r="I143" s="44" t="s">
        <v>645</v>
      </c>
    </row>
    <row r="144" spans="1:9" x14ac:dyDescent="0.2">
      <c r="A144" s="197"/>
      <c r="B144" s="111"/>
      <c r="C144" s="112"/>
      <c r="D144" s="113"/>
      <c r="E144" s="47"/>
      <c r="F144" s="47"/>
      <c r="G144" s="47"/>
      <c r="H144" s="47"/>
      <c r="I144" s="44"/>
    </row>
    <row r="145" spans="1:9" x14ac:dyDescent="0.2">
      <c r="A145" s="197"/>
      <c r="B145" s="111"/>
      <c r="C145" s="112"/>
      <c r="D145" s="111"/>
      <c r="E145" s="47"/>
      <c r="F145" s="47"/>
      <c r="G145" s="47"/>
      <c r="H145" s="47"/>
      <c r="I145" s="44"/>
    </row>
    <row r="146" spans="1:9" x14ac:dyDescent="0.2">
      <c r="A146" s="197"/>
      <c r="B146" s="107" t="str">
        <f>Inschrijving!B145</f>
        <v>Finale</v>
      </c>
      <c r="C146" s="59"/>
      <c r="D146" s="104"/>
      <c r="E146" s="21" t="str">
        <f>Inschrijving!H146</f>
        <v>Uitslag</v>
      </c>
      <c r="F146" s="21"/>
      <c r="G146" s="21"/>
      <c r="H146" s="22" t="str">
        <f>Inschrijving!J146</f>
        <v>Toto</v>
      </c>
      <c r="I146" s="44"/>
    </row>
    <row r="147" spans="1:9" x14ac:dyDescent="0.2">
      <c r="A147" s="197">
        <f>Inschrijving!A147</f>
        <v>104</v>
      </c>
      <c r="B147" s="206" t="str">
        <f>Inschrijving!D147</f>
        <v>vul winnaar in HF1</v>
      </c>
      <c r="C147" s="109" t="str">
        <f>Inschrijving!E147</f>
        <v>-</v>
      </c>
      <c r="D147" s="114" t="str">
        <f>Inschrijving!F147</f>
        <v>vul winnaar in HF2</v>
      </c>
      <c r="E147" s="23">
        <f>Inschrijving!G147</f>
        <v>0</v>
      </c>
      <c r="F147" s="18" t="str">
        <f>Inschrijving!H147</f>
        <v>-</v>
      </c>
      <c r="G147" s="18">
        <f>Inschrijving!I147</f>
        <v>0</v>
      </c>
      <c r="H147" s="18">
        <f>Inschrijving!J147</f>
        <v>0</v>
      </c>
      <c r="I147" s="44" t="s">
        <v>623</v>
      </c>
    </row>
    <row r="148" spans="1:9" x14ac:dyDescent="0.2">
      <c r="A148" s="44"/>
      <c r="B148" s="112"/>
      <c r="C148" s="112"/>
      <c r="D148" s="45"/>
      <c r="E148" s="45"/>
      <c r="F148" s="45"/>
      <c r="G148" s="45"/>
      <c r="H148" s="45"/>
      <c r="I148" s="44"/>
    </row>
    <row r="149" spans="1:9" x14ac:dyDescent="0.2">
      <c r="A149" s="44"/>
      <c r="B149" s="112"/>
      <c r="C149" s="112"/>
      <c r="D149" s="45"/>
      <c r="E149" s="45"/>
      <c r="F149" s="45"/>
      <c r="G149" s="45"/>
      <c r="H149" s="45"/>
      <c r="I149" s="44"/>
    </row>
    <row r="150" spans="1:9" x14ac:dyDescent="0.2">
      <c r="A150" s="44"/>
      <c r="B150" s="46"/>
      <c r="C150" s="115"/>
      <c r="D150" s="45"/>
      <c r="E150" s="45"/>
      <c r="F150" s="45"/>
      <c r="G150" s="45"/>
      <c r="H150" s="45"/>
      <c r="I150" s="44"/>
    </row>
    <row r="151" spans="1:9" x14ac:dyDescent="0.2">
      <c r="A151" s="44"/>
      <c r="B151" s="116" t="str">
        <f>Groepsloting!B123</f>
        <v>Zestiende finales</v>
      </c>
      <c r="C151" s="117"/>
      <c r="D151" s="118"/>
      <c r="E151" s="45"/>
      <c r="F151" s="45"/>
      <c r="G151" s="45"/>
      <c r="H151" s="45"/>
      <c r="I151" s="44"/>
    </row>
    <row r="152" spans="1:9" x14ac:dyDescent="0.2">
      <c r="A152" s="44"/>
      <c r="B152" s="45"/>
      <c r="C152" s="45"/>
      <c r="D152" s="119" t="s">
        <v>95</v>
      </c>
      <c r="E152" s="29" t="str">
        <f>Inschrijving!D107</f>
        <v>1e poule A</v>
      </c>
      <c r="F152" s="30"/>
      <c r="G152" s="30"/>
      <c r="H152" s="31"/>
      <c r="I152" s="44"/>
    </row>
    <row r="153" spans="1:9" x14ac:dyDescent="0.2">
      <c r="A153" s="44"/>
      <c r="B153" s="45"/>
      <c r="C153" s="45"/>
      <c r="D153" s="119" t="s">
        <v>96</v>
      </c>
      <c r="E153" s="29" t="str">
        <f>Inschrijving!D101</f>
        <v>2e poule A</v>
      </c>
      <c r="F153" s="30"/>
      <c r="G153" s="30"/>
      <c r="H153" s="31"/>
      <c r="I153" s="44"/>
    </row>
    <row r="154" spans="1:9" x14ac:dyDescent="0.2">
      <c r="A154" s="44"/>
      <c r="B154" s="45"/>
      <c r="C154" s="45"/>
      <c r="D154" s="119" t="s">
        <v>97</v>
      </c>
      <c r="E154" s="29" t="str">
        <f>Inschrijving!D113</f>
        <v>1e poule B</v>
      </c>
      <c r="F154" s="30"/>
      <c r="G154" s="30"/>
      <c r="H154" s="31"/>
      <c r="I154" s="44"/>
    </row>
    <row r="155" spans="1:9" x14ac:dyDescent="0.2">
      <c r="A155" s="44"/>
      <c r="B155" s="45"/>
      <c r="C155" s="45"/>
      <c r="D155" s="119" t="s">
        <v>98</v>
      </c>
      <c r="E155" s="29" t="str">
        <f>Inschrijving!F101</f>
        <v>2e poule B</v>
      </c>
      <c r="F155" s="30"/>
      <c r="G155" s="30"/>
      <c r="H155" s="31"/>
      <c r="I155" s="44"/>
    </row>
    <row r="156" spans="1:9" x14ac:dyDescent="0.2">
      <c r="A156" s="44"/>
      <c r="B156" s="45"/>
      <c r="C156" s="45"/>
      <c r="D156" s="119" t="s">
        <v>99</v>
      </c>
      <c r="E156" s="29" t="str">
        <f>Inschrijving!D102</f>
        <v>1e poule C</v>
      </c>
      <c r="F156" s="30"/>
      <c r="G156" s="30"/>
      <c r="H156" s="31"/>
      <c r="I156" s="44"/>
    </row>
    <row r="157" spans="1:9" x14ac:dyDescent="0.2">
      <c r="A157" s="44"/>
      <c r="B157" s="45"/>
      <c r="C157" s="45"/>
      <c r="D157" s="119" t="s">
        <v>100</v>
      </c>
      <c r="E157" s="29" t="str">
        <f>Inschrijving!F104</f>
        <v>2e poule C</v>
      </c>
      <c r="F157" s="30"/>
      <c r="G157" s="30"/>
      <c r="H157" s="31"/>
      <c r="I157" s="44"/>
    </row>
    <row r="158" spans="1:9" x14ac:dyDescent="0.2">
      <c r="A158" s="44"/>
      <c r="B158" s="45"/>
      <c r="C158" s="45"/>
      <c r="D158" s="119" t="s">
        <v>101</v>
      </c>
      <c r="E158" s="29" t="str">
        <f>Inschrijving!D110</f>
        <v>1e poule D</v>
      </c>
      <c r="F158" s="30"/>
      <c r="G158" s="30"/>
      <c r="H158" s="31"/>
      <c r="I158" s="44"/>
    </row>
    <row r="159" spans="1:9" x14ac:dyDescent="0.2">
      <c r="A159" s="44"/>
      <c r="B159" s="45"/>
      <c r="C159" s="45"/>
      <c r="D159" s="119" t="s">
        <v>102</v>
      </c>
      <c r="E159" s="29" t="str">
        <f>Inschrijving!D114</f>
        <v>2e poule D</v>
      </c>
      <c r="F159" s="30"/>
      <c r="G159" s="30"/>
      <c r="H159" s="31"/>
      <c r="I159" s="44"/>
    </row>
    <row r="160" spans="1:9" x14ac:dyDescent="0.2">
      <c r="A160" s="44"/>
      <c r="B160" s="45"/>
      <c r="C160" s="45"/>
      <c r="D160" s="119" t="s">
        <v>103</v>
      </c>
      <c r="E160" s="29" t="str">
        <f>Inschrijving!D103</f>
        <v>1e poule E</v>
      </c>
      <c r="F160" s="30"/>
      <c r="G160" s="30"/>
      <c r="H160" s="31"/>
      <c r="I160" s="44"/>
    </row>
    <row r="161" spans="1:9" x14ac:dyDescent="0.2">
      <c r="A161" s="44"/>
      <c r="B161" s="45"/>
      <c r="C161" s="45"/>
      <c r="D161" s="119" t="s">
        <v>104</v>
      </c>
      <c r="E161" s="29" t="str">
        <f>Inschrijving!D105</f>
        <v>2e poule E</v>
      </c>
      <c r="F161" s="30"/>
      <c r="G161" s="30"/>
      <c r="H161" s="31"/>
      <c r="I161" s="44"/>
    </row>
    <row r="162" spans="1:9" x14ac:dyDescent="0.2">
      <c r="A162" s="44"/>
      <c r="B162" s="45"/>
      <c r="C162" s="45"/>
      <c r="D162" s="119" t="s">
        <v>105</v>
      </c>
      <c r="E162" s="29" t="str">
        <f>Inschrijving!D104</f>
        <v>1e poule F</v>
      </c>
      <c r="F162" s="30"/>
      <c r="G162" s="30"/>
      <c r="H162" s="31"/>
      <c r="I162" s="44"/>
    </row>
    <row r="163" spans="1:9" x14ac:dyDescent="0.2">
      <c r="A163" s="44"/>
      <c r="B163" s="45"/>
      <c r="C163" s="45"/>
      <c r="D163" s="119" t="s">
        <v>106</v>
      </c>
      <c r="E163" s="29" t="str">
        <f>Inschrijving!F102</f>
        <v>2e poule F</v>
      </c>
      <c r="F163" s="30"/>
      <c r="G163" s="30"/>
      <c r="H163" s="31"/>
      <c r="I163" s="44"/>
    </row>
    <row r="164" spans="1:9" x14ac:dyDescent="0.2">
      <c r="A164" s="44"/>
      <c r="B164" s="45"/>
      <c r="C164" s="45"/>
      <c r="D164" s="120" t="s">
        <v>107</v>
      </c>
      <c r="E164" s="29" t="str">
        <f>Inschrijving!D109</f>
        <v>1e poule G</v>
      </c>
      <c r="F164" s="33"/>
      <c r="G164" s="33"/>
      <c r="H164" s="34"/>
      <c r="I164" s="44"/>
    </row>
    <row r="165" spans="1:9" x14ac:dyDescent="0.2">
      <c r="A165" s="44"/>
      <c r="B165" s="45"/>
      <c r="C165" s="45"/>
      <c r="D165" s="119" t="s">
        <v>108</v>
      </c>
      <c r="E165" s="29" t="str">
        <f>Inschrijving!F114</f>
        <v>2e poule G</v>
      </c>
      <c r="F165" s="30"/>
      <c r="G165" s="30"/>
      <c r="H165" s="31"/>
      <c r="I165" s="44"/>
    </row>
    <row r="166" spans="1:9" x14ac:dyDescent="0.2">
      <c r="A166" s="44"/>
      <c r="B166" s="45"/>
      <c r="C166" s="45"/>
      <c r="D166" s="119" t="s">
        <v>109</v>
      </c>
      <c r="E166" s="29" t="str">
        <f>Inschrijving!D111</f>
        <v>1e poule H</v>
      </c>
      <c r="F166" s="30"/>
      <c r="G166" s="30"/>
      <c r="H166" s="31"/>
      <c r="I166" s="44"/>
    </row>
    <row r="167" spans="1:9" x14ac:dyDescent="0.2">
      <c r="A167" s="44"/>
      <c r="B167" s="45"/>
      <c r="C167" s="45"/>
      <c r="D167" s="119" t="s">
        <v>110</v>
      </c>
      <c r="E167" s="29" t="str">
        <f>Inschrijving!F115</f>
        <v>2e poule H</v>
      </c>
      <c r="F167" s="30"/>
      <c r="G167" s="30"/>
      <c r="H167" s="31"/>
      <c r="I167" s="44"/>
    </row>
    <row r="168" spans="1:9" x14ac:dyDescent="0.2">
      <c r="A168" s="44"/>
      <c r="B168" s="45"/>
      <c r="C168" s="45"/>
      <c r="D168" s="119" t="s">
        <v>637</v>
      </c>
      <c r="E168" s="29" t="str">
        <f>Inschrijving!D106</f>
        <v>1e poule I</v>
      </c>
      <c r="F168" s="30"/>
      <c r="G168" s="30"/>
      <c r="H168" s="31"/>
      <c r="I168" s="44"/>
    </row>
    <row r="169" spans="1:9" x14ac:dyDescent="0.2">
      <c r="A169" s="44"/>
      <c r="B169" s="45"/>
      <c r="C169" s="45"/>
      <c r="D169" s="119" t="s">
        <v>638</v>
      </c>
      <c r="E169" s="29" t="str">
        <f>Inschrijving!F105</f>
        <v>2e poule I</v>
      </c>
      <c r="F169" s="30"/>
      <c r="G169" s="30"/>
      <c r="H169" s="31"/>
      <c r="I169" s="44"/>
    </row>
    <row r="170" spans="1:9" x14ac:dyDescent="0.2">
      <c r="A170" s="44"/>
      <c r="B170" s="45"/>
      <c r="C170" s="45"/>
      <c r="D170" s="119" t="s">
        <v>639</v>
      </c>
      <c r="E170" s="29" t="str">
        <f>Inschrijving!D115</f>
        <v>1e poule J</v>
      </c>
      <c r="F170" s="30"/>
      <c r="G170" s="30"/>
      <c r="H170" s="31"/>
      <c r="I170" s="44"/>
    </row>
    <row r="171" spans="1:9" x14ac:dyDescent="0.2">
      <c r="A171" s="44"/>
      <c r="B171" s="45"/>
      <c r="C171" s="45"/>
      <c r="D171" s="119" t="s">
        <v>640</v>
      </c>
      <c r="E171" s="29" t="str">
        <f>Inschrijving!F111</f>
        <v>2e poule J</v>
      </c>
      <c r="F171" s="30"/>
      <c r="G171" s="30"/>
      <c r="H171" s="31"/>
      <c r="I171" s="44"/>
    </row>
    <row r="172" spans="1:9" x14ac:dyDescent="0.2">
      <c r="A172" s="44"/>
      <c r="B172" s="45"/>
      <c r="C172" s="45"/>
      <c r="D172" s="119" t="s">
        <v>641</v>
      </c>
      <c r="E172" s="29" t="str">
        <f>Inschrijving!D116</f>
        <v>1e poule K</v>
      </c>
      <c r="F172" s="30"/>
      <c r="G172" s="30"/>
      <c r="H172" s="31"/>
      <c r="I172" s="44"/>
    </row>
    <row r="173" spans="1:9" x14ac:dyDescent="0.2">
      <c r="A173" s="44"/>
      <c r="B173" s="45"/>
      <c r="C173" s="45"/>
      <c r="D173" s="119" t="s">
        <v>642</v>
      </c>
      <c r="E173" s="29" t="str">
        <f>Inschrijving!D112</f>
        <v>2e poule K</v>
      </c>
      <c r="F173" s="30"/>
      <c r="G173" s="30"/>
      <c r="H173" s="31"/>
      <c r="I173" s="44"/>
    </row>
    <row r="174" spans="1:9" x14ac:dyDescent="0.2">
      <c r="A174" s="44"/>
      <c r="B174" s="45"/>
      <c r="C174" s="45"/>
      <c r="D174" s="119" t="s">
        <v>643</v>
      </c>
      <c r="E174" s="29" t="str">
        <f>Inschrijving!D108</f>
        <v>1e poule L</v>
      </c>
      <c r="F174" s="30"/>
      <c r="G174" s="30"/>
      <c r="H174" s="31"/>
      <c r="I174" s="44"/>
    </row>
    <row r="175" spans="1:9" x14ac:dyDescent="0.2">
      <c r="A175" s="44"/>
      <c r="B175" s="45"/>
      <c r="C175" s="45"/>
      <c r="D175" s="119" t="s">
        <v>644</v>
      </c>
      <c r="E175" s="29" t="str">
        <f>Inschrijving!F112</f>
        <v>2e poule L</v>
      </c>
      <c r="F175" s="30"/>
      <c r="G175" s="30"/>
      <c r="H175" s="31"/>
      <c r="I175" s="44"/>
    </row>
    <row r="176" spans="1:9" x14ac:dyDescent="0.2">
      <c r="A176" s="44"/>
      <c r="B176" s="45"/>
      <c r="C176" s="45"/>
      <c r="D176" s="119" t="s">
        <v>510</v>
      </c>
      <c r="E176" s="29" t="str">
        <f>Inschrijving!F103</f>
        <v>3e Poule ABCDF</v>
      </c>
      <c r="F176" s="30"/>
      <c r="G176" s="30"/>
      <c r="H176" s="31"/>
      <c r="I176" s="44"/>
    </row>
    <row r="177" spans="1:9" x14ac:dyDescent="0.2">
      <c r="A177" s="44"/>
      <c r="B177" s="45"/>
      <c r="C177" s="45"/>
      <c r="D177" s="119" t="s">
        <v>511</v>
      </c>
      <c r="E177" s="29" t="str">
        <f>Inschrijving!F106</f>
        <v>3e Poule CDFGH</v>
      </c>
      <c r="F177" s="30"/>
      <c r="G177" s="30"/>
      <c r="H177" s="31"/>
      <c r="I177" s="44"/>
    </row>
    <row r="178" spans="1:9" x14ac:dyDescent="0.2">
      <c r="A178" s="44"/>
      <c r="B178" s="45"/>
      <c r="C178" s="45"/>
      <c r="D178" s="119" t="s">
        <v>512</v>
      </c>
      <c r="E178" s="29" t="str">
        <f>Inschrijving!F107</f>
        <v>3e Poule CEFHI</v>
      </c>
      <c r="F178" s="30"/>
      <c r="G178" s="30"/>
      <c r="H178" s="31"/>
      <c r="I178" s="44"/>
    </row>
    <row r="179" spans="1:9" x14ac:dyDescent="0.2">
      <c r="A179" s="44"/>
      <c r="B179" s="45"/>
      <c r="C179" s="45"/>
      <c r="D179" s="119" t="s">
        <v>513</v>
      </c>
      <c r="E179" s="29" t="str">
        <f>Inschrijving!F108</f>
        <v>3e Poule EHIJK</v>
      </c>
      <c r="F179" s="30"/>
      <c r="G179" s="30"/>
      <c r="H179" s="31"/>
      <c r="I179" s="44"/>
    </row>
    <row r="180" spans="1:9" x14ac:dyDescent="0.2">
      <c r="A180" s="44"/>
      <c r="B180" s="45"/>
      <c r="C180" s="45"/>
      <c r="D180" s="119" t="s">
        <v>514</v>
      </c>
      <c r="E180" s="29" t="str">
        <f>Inschrijving!F109</f>
        <v>3e Poule AEHIJ</v>
      </c>
      <c r="F180" s="33"/>
      <c r="G180" s="33"/>
      <c r="H180" s="34"/>
      <c r="I180" s="44"/>
    </row>
    <row r="181" spans="1:9" x14ac:dyDescent="0.2">
      <c r="A181" s="44"/>
      <c r="B181" s="45"/>
      <c r="C181" s="45"/>
      <c r="D181" s="119" t="s">
        <v>515</v>
      </c>
      <c r="E181" s="29" t="str">
        <f>Inschrijving!F110</f>
        <v>3e Poule BEFIJ</v>
      </c>
      <c r="F181" s="30"/>
      <c r="G181" s="30"/>
      <c r="H181" s="31"/>
      <c r="I181" s="44"/>
    </row>
    <row r="182" spans="1:9" x14ac:dyDescent="0.2">
      <c r="A182" s="44"/>
      <c r="B182" s="45"/>
      <c r="C182" s="45"/>
      <c r="D182" s="119" t="s">
        <v>516</v>
      </c>
      <c r="E182" s="29" t="str">
        <f>Inschrijving!F113</f>
        <v>3e Poule EFGIJ</v>
      </c>
      <c r="F182" s="30"/>
      <c r="G182" s="30"/>
      <c r="H182" s="31"/>
      <c r="I182" s="44"/>
    </row>
    <row r="183" spans="1:9" x14ac:dyDescent="0.2">
      <c r="A183" s="44"/>
      <c r="B183" s="45"/>
      <c r="C183" s="45"/>
      <c r="D183" s="119" t="s">
        <v>517</v>
      </c>
      <c r="E183" s="29" t="str">
        <f>Inschrijving!F116</f>
        <v>3e Poule DEIJL</v>
      </c>
      <c r="F183" s="30"/>
      <c r="G183" s="30"/>
      <c r="H183" s="31"/>
      <c r="I183" s="44"/>
    </row>
    <row r="184" spans="1:9" x14ac:dyDescent="0.2">
      <c r="A184" s="44"/>
      <c r="B184" s="45"/>
      <c r="C184" s="45"/>
      <c r="D184" s="119"/>
      <c r="E184" s="46"/>
      <c r="F184" s="46"/>
      <c r="G184" s="46"/>
      <c r="H184" s="46"/>
      <c r="I184" s="44"/>
    </row>
    <row r="185" spans="1:9" x14ac:dyDescent="0.2">
      <c r="A185" s="44"/>
      <c r="B185" s="116" t="str">
        <f>Groepsloting!B140</f>
        <v>Achtste finales</v>
      </c>
      <c r="C185" s="117"/>
      <c r="D185" s="118"/>
      <c r="E185" s="45"/>
      <c r="F185" s="45"/>
      <c r="G185" s="45"/>
      <c r="H185" s="45"/>
      <c r="I185" s="44"/>
    </row>
    <row r="186" spans="1:9" x14ac:dyDescent="0.2">
      <c r="A186" s="44"/>
      <c r="B186" s="45"/>
      <c r="C186" s="45"/>
      <c r="D186" s="119" t="s">
        <v>486</v>
      </c>
      <c r="E186" s="29" t="str">
        <f>Inschrijving!D120</f>
        <v>vul winnaar in ZF1</v>
      </c>
      <c r="F186" s="30"/>
      <c r="G186" s="30"/>
      <c r="H186" s="31"/>
      <c r="I186" s="44"/>
    </row>
    <row r="187" spans="1:9" x14ac:dyDescent="0.2">
      <c r="A187" s="44"/>
      <c r="B187" s="45"/>
      <c r="C187" s="45"/>
      <c r="D187" s="119" t="s">
        <v>487</v>
      </c>
      <c r="E187" s="29" t="str">
        <f>Inschrijving!D122</f>
        <v>vul winnaar in ZF2</v>
      </c>
      <c r="F187" s="30"/>
      <c r="G187" s="30"/>
      <c r="H187" s="31"/>
      <c r="I187" s="44"/>
    </row>
    <row r="188" spans="1:9" x14ac:dyDescent="0.2">
      <c r="A188" s="44"/>
      <c r="B188" s="45"/>
      <c r="C188" s="45"/>
      <c r="D188" s="119" t="s">
        <v>488</v>
      </c>
      <c r="E188" s="29" t="str">
        <f>Inschrijving!D121</f>
        <v>vul winnaar in ZF3</v>
      </c>
      <c r="F188" s="30"/>
      <c r="G188" s="30"/>
      <c r="H188" s="31"/>
      <c r="I188" s="44"/>
    </row>
    <row r="189" spans="1:9" x14ac:dyDescent="0.2">
      <c r="A189" s="44"/>
      <c r="B189" s="45"/>
      <c r="C189" s="45"/>
      <c r="D189" s="119" t="s">
        <v>489</v>
      </c>
      <c r="E189" s="29" t="str">
        <f>Inschrijving!F120</f>
        <v>vul winnaar in ZF4</v>
      </c>
      <c r="F189" s="30"/>
      <c r="G189" s="30"/>
      <c r="H189" s="31"/>
      <c r="I189" s="44"/>
    </row>
    <row r="190" spans="1:9" x14ac:dyDescent="0.2">
      <c r="A190" s="44"/>
      <c r="B190" s="45"/>
      <c r="C190" s="45"/>
      <c r="D190" s="119" t="s">
        <v>490</v>
      </c>
      <c r="E190" s="29" t="str">
        <f>Inschrijving!F122</f>
        <v>vul winnaar in ZF5</v>
      </c>
      <c r="F190" s="30"/>
      <c r="G190" s="30"/>
      <c r="H190" s="31"/>
      <c r="I190" s="44"/>
    </row>
    <row r="191" spans="1:9" x14ac:dyDescent="0.2">
      <c r="A191" s="44"/>
      <c r="B191" s="45"/>
      <c r="C191" s="45"/>
      <c r="D191" s="119" t="s">
        <v>491</v>
      </c>
      <c r="E191" s="29" t="str">
        <f>Inschrijving!F121</f>
        <v>vul winnaar in ZF6</v>
      </c>
      <c r="F191" s="30"/>
      <c r="G191" s="30"/>
      <c r="H191" s="31"/>
      <c r="I191" s="44"/>
    </row>
    <row r="192" spans="1:9" x14ac:dyDescent="0.2">
      <c r="A192" s="44"/>
      <c r="B192" s="45"/>
      <c r="C192" s="45"/>
      <c r="D192" s="119" t="s">
        <v>492</v>
      </c>
      <c r="E192" s="29" t="str">
        <f>Inschrijving!D123</f>
        <v>vul winnaar in ZF7</v>
      </c>
      <c r="F192" s="30"/>
      <c r="G192" s="30"/>
      <c r="H192" s="31"/>
      <c r="I192" s="44"/>
    </row>
    <row r="193" spans="1:9" x14ac:dyDescent="0.2">
      <c r="A193" s="44"/>
      <c r="B193" s="45"/>
      <c r="C193" s="45"/>
      <c r="D193" s="119" t="s">
        <v>493</v>
      </c>
      <c r="E193" s="29" t="str">
        <f>Inschrijving!F123</f>
        <v>vul winnaar in ZF8</v>
      </c>
      <c r="F193" s="30"/>
      <c r="G193" s="30"/>
      <c r="H193" s="31"/>
      <c r="I193" s="44"/>
    </row>
    <row r="194" spans="1:9" x14ac:dyDescent="0.2">
      <c r="A194" s="44"/>
      <c r="B194" s="45"/>
      <c r="C194" s="45"/>
      <c r="D194" s="119" t="s">
        <v>496</v>
      </c>
      <c r="E194" s="29" t="str">
        <f>Inschrijving!F125</f>
        <v>vul winnaar in ZF9</v>
      </c>
      <c r="F194" s="30"/>
      <c r="G194" s="30"/>
      <c r="H194" s="31"/>
      <c r="I194" s="44"/>
    </row>
    <row r="195" spans="1:9" x14ac:dyDescent="0.2">
      <c r="A195" s="44"/>
      <c r="B195" s="45"/>
      <c r="C195" s="45"/>
      <c r="D195" s="119" t="s">
        <v>497</v>
      </c>
      <c r="E195" s="29" t="str">
        <f>Inschrijving!D125</f>
        <v>vul winnaar in ZF10</v>
      </c>
      <c r="F195" s="30"/>
      <c r="G195" s="30"/>
      <c r="H195" s="31"/>
      <c r="I195" s="44"/>
    </row>
    <row r="196" spans="1:9" x14ac:dyDescent="0.2">
      <c r="A196" s="44"/>
      <c r="B196" s="45"/>
      <c r="C196" s="45"/>
      <c r="D196" s="119" t="s">
        <v>498</v>
      </c>
      <c r="E196" s="29" t="str">
        <f>Inschrijving!F124</f>
        <v>vul winnaar in ZF11</v>
      </c>
      <c r="F196" s="30"/>
      <c r="G196" s="30"/>
      <c r="H196" s="31"/>
      <c r="I196" s="44"/>
    </row>
    <row r="197" spans="1:9" x14ac:dyDescent="0.2">
      <c r="A197" s="44"/>
      <c r="B197" s="45"/>
      <c r="C197" s="45"/>
      <c r="D197" s="119" t="s">
        <v>499</v>
      </c>
      <c r="E197" s="29" t="str">
        <f>Inschrijving!D124</f>
        <v>vul winnaar in ZF12</v>
      </c>
      <c r="F197" s="30"/>
      <c r="G197" s="30"/>
      <c r="H197" s="31"/>
      <c r="I197" s="44"/>
    </row>
    <row r="198" spans="1:9" x14ac:dyDescent="0.2">
      <c r="A198" s="44"/>
      <c r="B198" s="45"/>
      <c r="C198" s="45"/>
      <c r="D198" s="119" t="s">
        <v>500</v>
      </c>
      <c r="E198" s="32" t="str">
        <f>Inschrijving!D127</f>
        <v>vul winnaar in ZF13</v>
      </c>
      <c r="F198" s="33"/>
      <c r="G198" s="33"/>
      <c r="H198" s="34"/>
      <c r="I198" s="44"/>
    </row>
    <row r="199" spans="1:9" x14ac:dyDescent="0.2">
      <c r="A199" s="44"/>
      <c r="B199" s="45"/>
      <c r="C199" s="45"/>
      <c r="D199" s="119" t="s">
        <v>501</v>
      </c>
      <c r="E199" s="29" t="str">
        <f>Inschrijving!F126</f>
        <v>vul winnaar in ZF14</v>
      </c>
      <c r="F199" s="30"/>
      <c r="G199" s="30"/>
      <c r="H199" s="31"/>
      <c r="I199" s="44"/>
    </row>
    <row r="200" spans="1:9" x14ac:dyDescent="0.2">
      <c r="A200" s="44"/>
      <c r="B200" s="45"/>
      <c r="C200" s="45"/>
      <c r="D200" s="119" t="s">
        <v>502</v>
      </c>
      <c r="E200" s="29" t="str">
        <f>Inschrijving!D126</f>
        <v>vul winnaar in ZF15</v>
      </c>
      <c r="F200" s="30"/>
      <c r="G200" s="30"/>
      <c r="H200" s="31"/>
      <c r="I200" s="44"/>
    </row>
    <row r="201" spans="1:9" x14ac:dyDescent="0.2">
      <c r="A201" s="44"/>
      <c r="B201" s="45"/>
      <c r="C201" s="45"/>
      <c r="D201" s="119" t="s">
        <v>503</v>
      </c>
      <c r="E201" s="29" t="str">
        <f>Inschrijving!F127</f>
        <v>vul winnaar in ZF16</v>
      </c>
      <c r="F201" s="30"/>
      <c r="G201" s="30"/>
      <c r="H201" s="31"/>
      <c r="I201" s="44"/>
    </row>
    <row r="202" spans="1:9" x14ac:dyDescent="0.2">
      <c r="A202" s="44"/>
      <c r="B202" s="45"/>
      <c r="C202" s="45"/>
      <c r="D202" s="119"/>
      <c r="E202" s="46"/>
      <c r="F202" s="46"/>
      <c r="G202" s="46"/>
      <c r="H202" s="46"/>
      <c r="I202" s="44"/>
    </row>
    <row r="203" spans="1:9" x14ac:dyDescent="0.2">
      <c r="A203" s="44"/>
      <c r="B203" s="116" t="str">
        <f>Groepsloting!B149</f>
        <v>Kwartfinales</v>
      </c>
      <c r="C203" s="117"/>
      <c r="D203" s="118"/>
      <c r="E203" s="46"/>
      <c r="F203" s="46"/>
      <c r="G203" s="46"/>
      <c r="H203" s="46"/>
      <c r="I203" s="44"/>
    </row>
    <row r="204" spans="1:9" x14ac:dyDescent="0.2">
      <c r="A204" s="44"/>
      <c r="B204" s="45"/>
      <c r="C204" s="45"/>
      <c r="D204" s="121" t="s">
        <v>78</v>
      </c>
      <c r="E204" s="29" t="str">
        <f>Inschrijving!F131</f>
        <v>vul winnaar in AF1</v>
      </c>
      <c r="F204" s="30"/>
      <c r="G204" s="30"/>
      <c r="H204" s="31"/>
      <c r="I204" s="44"/>
    </row>
    <row r="205" spans="1:9" x14ac:dyDescent="0.2">
      <c r="A205" s="44"/>
      <c r="B205" s="45"/>
      <c r="C205" s="45"/>
      <c r="D205" s="121" t="s">
        <v>79</v>
      </c>
      <c r="E205" s="29" t="str">
        <f>Inschrijving!D131</f>
        <v>vul winnaar in AF2</v>
      </c>
      <c r="F205" s="30"/>
      <c r="G205" s="30"/>
      <c r="H205" s="31"/>
      <c r="I205" s="44"/>
    </row>
    <row r="206" spans="1:9" x14ac:dyDescent="0.2">
      <c r="A206" s="44"/>
      <c r="B206" s="45"/>
      <c r="C206" s="45"/>
      <c r="D206" s="121" t="s">
        <v>80</v>
      </c>
      <c r="E206" s="29" t="str">
        <f>Inschrijving!D133</f>
        <v>vul winnaar in AF3</v>
      </c>
      <c r="F206" s="30"/>
      <c r="G206" s="30"/>
      <c r="H206" s="31"/>
      <c r="I206" s="44"/>
    </row>
    <row r="207" spans="1:9" x14ac:dyDescent="0.2">
      <c r="A207" s="44"/>
      <c r="B207" s="45"/>
      <c r="C207" s="45"/>
      <c r="D207" s="121" t="s">
        <v>81</v>
      </c>
      <c r="E207" s="29" t="str">
        <f>Inschrijving!F133</f>
        <v>vul winnaar in AF4</v>
      </c>
      <c r="F207" s="30"/>
      <c r="G207" s="30"/>
      <c r="H207" s="31"/>
      <c r="I207" s="44"/>
    </row>
    <row r="208" spans="1:9" x14ac:dyDescent="0.2">
      <c r="A208" s="44"/>
      <c r="B208" s="45"/>
      <c r="C208" s="45"/>
      <c r="D208" s="121" t="s">
        <v>82</v>
      </c>
      <c r="E208" s="29" t="str">
        <f>Inschrijving!D132</f>
        <v>vul winnaar in AF5</v>
      </c>
      <c r="F208" s="30"/>
      <c r="G208" s="30"/>
      <c r="H208" s="31"/>
      <c r="I208" s="44"/>
    </row>
    <row r="209" spans="1:9" x14ac:dyDescent="0.2">
      <c r="A209" s="44"/>
      <c r="B209" s="45"/>
      <c r="C209" s="45"/>
      <c r="D209" s="121" t="s">
        <v>83</v>
      </c>
      <c r="E209" s="29" t="str">
        <f>Inschrijving!F132</f>
        <v>vul winnaar in AF6</v>
      </c>
      <c r="F209" s="30"/>
      <c r="G209" s="30"/>
      <c r="H209" s="31"/>
      <c r="I209" s="44"/>
    </row>
    <row r="210" spans="1:9" x14ac:dyDescent="0.2">
      <c r="A210" s="44"/>
      <c r="B210" s="45"/>
      <c r="C210" s="45"/>
      <c r="D210" s="121" t="s">
        <v>84</v>
      </c>
      <c r="E210" s="29" t="str">
        <f>Inschrijving!D134</f>
        <v>vul winnaar in AF7</v>
      </c>
      <c r="F210" s="30"/>
      <c r="G210" s="30"/>
      <c r="H210" s="31"/>
      <c r="I210" s="44"/>
    </row>
    <row r="211" spans="1:9" x14ac:dyDescent="0.2">
      <c r="A211" s="44"/>
      <c r="B211" s="45"/>
      <c r="C211" s="45"/>
      <c r="D211" s="121" t="s">
        <v>85</v>
      </c>
      <c r="E211" s="29" t="str">
        <f>Inschrijving!F134</f>
        <v>vul winnaar in AF8</v>
      </c>
      <c r="F211" s="30"/>
      <c r="G211" s="30"/>
      <c r="H211" s="31"/>
      <c r="I211" s="44"/>
    </row>
    <row r="212" spans="1:9" x14ac:dyDescent="0.2">
      <c r="A212" s="44"/>
      <c r="B212" s="45"/>
      <c r="C212" s="45"/>
      <c r="D212" s="119"/>
      <c r="E212" s="45"/>
      <c r="F212" s="45"/>
      <c r="G212" s="45"/>
      <c r="H212" s="45"/>
      <c r="I212" s="44"/>
    </row>
    <row r="213" spans="1:9" x14ac:dyDescent="0.2">
      <c r="A213" s="44"/>
      <c r="B213" s="116" t="str">
        <f>Groepsloting!B154</f>
        <v>Halve finales</v>
      </c>
      <c r="C213" s="117"/>
      <c r="D213" s="118"/>
      <c r="E213" s="45"/>
      <c r="F213" s="45"/>
      <c r="G213" s="45"/>
      <c r="H213" s="45"/>
      <c r="I213" s="44"/>
    </row>
    <row r="214" spans="1:9" x14ac:dyDescent="0.2">
      <c r="A214" s="44"/>
      <c r="B214" s="45"/>
      <c r="C214" s="45"/>
      <c r="D214" s="121" t="s">
        <v>86</v>
      </c>
      <c r="E214" s="29" t="str">
        <f>Inschrijving!D138</f>
        <v>vul winnaar in KF1</v>
      </c>
      <c r="F214" s="30"/>
      <c r="G214" s="30"/>
      <c r="H214" s="31"/>
      <c r="I214" s="44"/>
    </row>
    <row r="215" spans="1:9" x14ac:dyDescent="0.2">
      <c r="A215" s="44"/>
      <c r="B215" s="45"/>
      <c r="C215" s="45"/>
      <c r="D215" s="121" t="s">
        <v>87</v>
      </c>
      <c r="E215" s="29" t="str">
        <f>Inschrijving!F138</f>
        <v>vul winnaar in KF2</v>
      </c>
      <c r="F215" s="30"/>
      <c r="G215" s="30"/>
      <c r="H215" s="31"/>
      <c r="I215" s="44"/>
    </row>
    <row r="216" spans="1:9" x14ac:dyDescent="0.2">
      <c r="A216" s="44"/>
      <c r="B216" s="45"/>
      <c r="C216" s="45"/>
      <c r="D216" s="121" t="s">
        <v>88</v>
      </c>
      <c r="E216" s="29" t="str">
        <f>Inschrijving!D139</f>
        <v>vul winnaar in KF3</v>
      </c>
      <c r="F216" s="30"/>
      <c r="G216" s="30"/>
      <c r="H216" s="31"/>
      <c r="I216" s="44"/>
    </row>
    <row r="217" spans="1:9" x14ac:dyDescent="0.2">
      <c r="A217" s="44"/>
      <c r="B217" s="45"/>
      <c r="C217" s="45"/>
      <c r="D217" s="121" t="s">
        <v>89</v>
      </c>
      <c r="E217" s="29" t="str">
        <f>Inschrijving!F139</f>
        <v>vul winnaar in KF4</v>
      </c>
      <c r="F217" s="30"/>
      <c r="G217" s="30"/>
      <c r="H217" s="31"/>
      <c r="I217" s="44"/>
    </row>
    <row r="218" spans="1:9" x14ac:dyDescent="0.2">
      <c r="A218" s="44"/>
      <c r="B218" s="45"/>
      <c r="C218" s="45"/>
      <c r="D218" s="45"/>
      <c r="E218" s="45"/>
      <c r="F218" s="45"/>
      <c r="G218" s="45"/>
      <c r="H218" s="45"/>
      <c r="I218" s="44"/>
    </row>
    <row r="219" spans="1:9" x14ac:dyDescent="0.2">
      <c r="A219" s="44"/>
      <c r="B219" s="116" t="str">
        <f>Groepsloting!B157</f>
        <v>3e plaats</v>
      </c>
      <c r="C219" s="117"/>
      <c r="D219" s="118"/>
      <c r="E219" s="45"/>
      <c r="F219" s="45"/>
      <c r="G219" s="45"/>
      <c r="H219" s="45"/>
      <c r="I219" s="44"/>
    </row>
    <row r="220" spans="1:9" x14ac:dyDescent="0.2">
      <c r="A220" s="44"/>
      <c r="B220" s="45"/>
      <c r="C220" s="45"/>
      <c r="D220" s="119"/>
      <c r="E220" s="29" t="str">
        <f>Inschrijving!D144</f>
        <v>Winnaar van 3e plaats</v>
      </c>
      <c r="F220" s="30"/>
      <c r="G220" s="30"/>
      <c r="H220" s="31"/>
      <c r="I220" s="44"/>
    </row>
    <row r="221" spans="1:9" ht="13.5" customHeight="1" x14ac:dyDescent="0.2">
      <c r="A221" s="44"/>
      <c r="B221" s="116" t="str">
        <f>Groepsloting!B161</f>
        <v>Finale</v>
      </c>
      <c r="C221" s="117"/>
      <c r="D221" s="118"/>
      <c r="E221" s="45"/>
      <c r="F221" s="45"/>
      <c r="G221" s="45"/>
      <c r="H221" s="45"/>
      <c r="I221" s="44"/>
    </row>
    <row r="222" spans="1:9" ht="12.75" customHeight="1" x14ac:dyDescent="0.2">
      <c r="A222" s="44"/>
      <c r="B222" s="45"/>
      <c r="C222" s="45"/>
      <c r="D222" s="121" t="s">
        <v>90</v>
      </c>
      <c r="E222" s="29" t="str">
        <f>Inschrijving!D147</f>
        <v>vul winnaar in HF1</v>
      </c>
      <c r="F222" s="30"/>
      <c r="G222" s="30"/>
      <c r="H222" s="31"/>
      <c r="I222" s="44"/>
    </row>
    <row r="223" spans="1:9" x14ac:dyDescent="0.2">
      <c r="A223" s="44"/>
      <c r="B223" s="45"/>
      <c r="C223" s="45"/>
      <c r="D223" s="121" t="s">
        <v>91</v>
      </c>
      <c r="E223" s="29" t="str">
        <f>Inschrijving!F147</f>
        <v>vul winnaar in HF2</v>
      </c>
      <c r="F223" s="30"/>
      <c r="G223" s="30"/>
      <c r="H223" s="31"/>
      <c r="I223" s="44"/>
    </row>
    <row r="224" spans="1:9" ht="12.75" customHeight="1" x14ac:dyDescent="0.2">
      <c r="A224" s="44"/>
      <c r="B224" s="45"/>
      <c r="C224" s="45"/>
      <c r="D224" s="45"/>
      <c r="E224" s="45"/>
      <c r="F224" s="45"/>
      <c r="G224" s="45"/>
      <c r="H224" s="45"/>
      <c r="I224" s="44"/>
    </row>
    <row r="225" spans="1:9" x14ac:dyDescent="0.2">
      <c r="A225" s="44"/>
      <c r="B225" s="116" t="str">
        <f>Groepsloting!B162</f>
        <v>Wereldkampioen</v>
      </c>
      <c r="C225" s="117"/>
      <c r="D225" s="118"/>
      <c r="E225" s="45"/>
      <c r="F225" s="45"/>
      <c r="G225" s="45"/>
      <c r="H225" s="45"/>
      <c r="I225" s="44"/>
    </row>
    <row r="226" spans="1:9" ht="12.75" customHeight="1" x14ac:dyDescent="0.2">
      <c r="A226" s="44"/>
      <c r="B226" s="102"/>
      <c r="C226" s="102"/>
      <c r="D226" s="102"/>
      <c r="E226" s="29" t="str">
        <f>Inschrijving!F149</f>
        <v>Winnaar finale</v>
      </c>
      <c r="F226" s="30"/>
      <c r="G226" s="30"/>
      <c r="H226" s="31"/>
      <c r="I226" s="44"/>
    </row>
    <row r="227" spans="1:9" x14ac:dyDescent="0.2">
      <c r="A227" s="44"/>
      <c r="B227" s="102"/>
      <c r="C227" s="102"/>
      <c r="D227" s="102"/>
      <c r="E227" s="44"/>
      <c r="F227" s="44"/>
      <c r="G227" s="44"/>
      <c r="H227" s="44"/>
      <c r="I227" s="44"/>
    </row>
    <row r="228" spans="1:9" x14ac:dyDescent="0.2">
      <c r="A228" s="44"/>
      <c r="B228" s="102"/>
      <c r="C228" s="102"/>
      <c r="D228" s="102"/>
      <c r="E228" s="44"/>
      <c r="F228" s="44"/>
      <c r="G228" s="44"/>
      <c r="H228" s="44"/>
      <c r="I228" s="44"/>
    </row>
    <row r="229" spans="1:9" x14ac:dyDescent="0.2">
      <c r="A229" s="44"/>
      <c r="B229" s="102"/>
      <c r="C229" s="102"/>
      <c r="D229" s="102"/>
      <c r="E229" s="44"/>
      <c r="F229" s="44"/>
      <c r="G229" s="44"/>
      <c r="H229" s="44"/>
      <c r="I229" s="44"/>
    </row>
    <row r="230" spans="1:9" x14ac:dyDescent="0.2">
      <c r="A230" s="44"/>
      <c r="B230" s="116" t="str">
        <f>Groepsloting!B180</f>
        <v>WK 2026 Lucky Elftal detailvragen</v>
      </c>
      <c r="C230" s="117"/>
      <c r="D230" s="118"/>
      <c r="E230" s="44"/>
      <c r="F230" s="44"/>
      <c r="G230" s="44"/>
      <c r="H230" s="44"/>
      <c r="I230" s="44"/>
    </row>
    <row r="231" spans="1:9" ht="37.5" customHeight="1" x14ac:dyDescent="0.2">
      <c r="A231" s="44"/>
      <c r="B231" s="244" t="str">
        <f>Inschrijving!M18</f>
        <v>1. Welke land krijgt de meeste tegendoelpunten in de groepsfase?  (5 punten)</v>
      </c>
      <c r="C231" s="244"/>
      <c r="D231" s="245"/>
      <c r="E231" s="28" t="str">
        <f>Inschrijving!N19</f>
        <v>selecteer…</v>
      </c>
      <c r="F231" s="35"/>
      <c r="G231" s="35"/>
      <c r="H231" s="36"/>
      <c r="I231" s="44"/>
    </row>
    <row r="232" spans="1:9" ht="20.100000000000001" customHeight="1" x14ac:dyDescent="0.2">
      <c r="A232" s="44"/>
      <c r="B232" s="122"/>
      <c r="C232" s="122"/>
      <c r="D232" s="122"/>
      <c r="E232" s="44"/>
      <c r="F232" s="44"/>
      <c r="G232" s="44"/>
      <c r="H232" s="44"/>
      <c r="I232" s="44"/>
    </row>
    <row r="233" spans="1:9" ht="37.5" customHeight="1" x14ac:dyDescent="0.2">
      <c r="A233" s="44"/>
      <c r="B233" s="244" t="str">
        <f>Inschrijving!M20</f>
        <v>2. Welk land krijgt de minste tegendoelpunten in de groepsfase?  (5 punten)</v>
      </c>
      <c r="C233" s="244"/>
      <c r="D233" s="245"/>
      <c r="E233" s="28" t="str">
        <f>Inschrijving!N21</f>
        <v>selecteer…</v>
      </c>
      <c r="F233" s="35"/>
      <c r="G233" s="35"/>
      <c r="H233" s="36"/>
      <c r="I233" s="44"/>
    </row>
    <row r="234" spans="1:9" ht="20.100000000000001" customHeight="1" x14ac:dyDescent="0.2">
      <c r="A234" s="44"/>
      <c r="B234" s="102"/>
      <c r="C234" s="102"/>
      <c r="D234" s="102"/>
      <c r="E234" s="44"/>
      <c r="F234" s="44"/>
      <c r="G234" s="44"/>
      <c r="H234" s="44"/>
      <c r="I234" s="44"/>
    </row>
    <row r="235" spans="1:9" ht="27" customHeight="1" x14ac:dyDescent="0.2">
      <c r="A235" s="44"/>
      <c r="B235" s="244" t="str">
        <f>Inschrijving!M22</f>
        <v>3. Welk land scoort de meeste doelpunten in de groepsfase?  (5 punten)</v>
      </c>
      <c r="C235" s="244"/>
      <c r="D235" s="245"/>
      <c r="E235" s="28" t="str">
        <f>Inschrijving!N23</f>
        <v>selecteer…</v>
      </c>
      <c r="F235" s="35"/>
      <c r="G235" s="35"/>
      <c r="H235" s="36"/>
      <c r="I235" s="44"/>
    </row>
    <row r="236" spans="1:9" ht="20.100000000000001" customHeight="1" x14ac:dyDescent="0.2">
      <c r="A236" s="44"/>
      <c r="B236" s="102"/>
      <c r="C236" s="102"/>
      <c r="D236" s="102"/>
      <c r="E236" s="44"/>
      <c r="F236" s="44"/>
      <c r="G236" s="44"/>
      <c r="H236" s="44"/>
      <c r="I236" s="44"/>
    </row>
    <row r="237" spans="1:9" ht="27" customHeight="1" x14ac:dyDescent="0.2">
      <c r="A237" s="44"/>
      <c r="B237" s="244" t="str">
        <f>Inschrijving!M24</f>
        <v>4. Welk land scoort de minste doelpunten in de groepsfase?  (5 punten)</v>
      </c>
      <c r="C237" s="244"/>
      <c r="D237" s="245"/>
      <c r="E237" s="28" t="str">
        <f>Inschrijving!N25</f>
        <v>selecteer…</v>
      </c>
      <c r="F237" s="35"/>
      <c r="G237" s="35"/>
      <c r="H237" s="36"/>
      <c r="I237" s="44"/>
    </row>
    <row r="238" spans="1:9" ht="20.100000000000001" customHeight="1" x14ac:dyDescent="0.2">
      <c r="A238" s="44"/>
      <c r="B238" s="102"/>
      <c r="C238" s="102"/>
      <c r="D238" s="102"/>
      <c r="E238" s="44"/>
      <c r="F238" s="44"/>
      <c r="G238" s="44"/>
      <c r="H238" s="44"/>
      <c r="I238" s="44"/>
    </row>
    <row r="239" spans="1:9" ht="27" customHeight="1" x14ac:dyDescent="0.2">
      <c r="A239" s="44"/>
      <c r="B239" s="244" t="str">
        <f>Inschrijving!M26</f>
        <v>5. Wie wordt topscoorder van het toernooi?  (5 punten)</v>
      </c>
      <c r="C239" s="244"/>
      <c r="D239" s="245"/>
      <c r="E239" s="28" t="str">
        <f>IF(Inschrijving!N27="","",Inschrijving!N27)</f>
        <v/>
      </c>
      <c r="F239" s="35"/>
      <c r="G239" s="35"/>
      <c r="H239" s="36"/>
      <c r="I239" s="44"/>
    </row>
    <row r="240" spans="1:9" ht="20.100000000000001" customHeight="1" x14ac:dyDescent="0.2">
      <c r="A240" s="44"/>
      <c r="B240" s="102"/>
      <c r="C240" s="102"/>
      <c r="D240" s="102"/>
      <c r="E240" s="44"/>
      <c r="F240" s="44"/>
      <c r="G240" s="44"/>
      <c r="H240" s="44"/>
      <c r="I240" s="44"/>
    </row>
    <row r="241" spans="1:9" ht="27" customHeight="1" x14ac:dyDescent="0.2">
      <c r="A241" s="44"/>
      <c r="B241" s="244" t="str">
        <f>Inschrijving!M28</f>
        <v>6. Hoeveel doelpunten worden er in het toernooi gescoord?  (range ±5=5pnt)</v>
      </c>
      <c r="C241" s="244"/>
      <c r="D241" s="245"/>
      <c r="E241" s="28" t="str">
        <f>IF(Inschrijving!N29="","",Inschrijving!N29)</f>
        <v/>
      </c>
      <c r="F241" s="35"/>
      <c r="G241" s="35"/>
      <c r="H241" s="36"/>
      <c r="I241" s="44"/>
    </row>
    <row r="242" spans="1:9" ht="20.100000000000001" customHeight="1" x14ac:dyDescent="0.2">
      <c r="A242" s="44"/>
      <c r="B242" s="102"/>
      <c r="C242" s="102"/>
      <c r="D242" s="102"/>
      <c r="E242" s="44"/>
      <c r="F242" s="44"/>
      <c r="G242" s="44"/>
      <c r="H242" s="44"/>
      <c r="I242" s="44"/>
    </row>
    <row r="243" spans="1:9" ht="27" customHeight="1" x14ac:dyDescent="0.2">
      <c r="A243" s="44"/>
      <c r="B243" s="244" t="str">
        <f>Inschrijving!M30</f>
        <v>7. Hoeveel gele kaarten vallen er in het toernooi?   (range ±5=5pnt)</v>
      </c>
      <c r="C243" s="244"/>
      <c r="D243" s="245"/>
      <c r="E243" s="28" t="str">
        <f>IF(Inschrijving!N31="","",Inschrijving!N31)</f>
        <v/>
      </c>
      <c r="F243" s="35"/>
      <c r="G243" s="35"/>
      <c r="H243" s="36"/>
      <c r="I243" s="44"/>
    </row>
    <row r="244" spans="1:9" ht="20.100000000000001" customHeight="1" x14ac:dyDescent="0.2">
      <c r="A244" s="44"/>
      <c r="B244" s="102"/>
      <c r="C244" s="102"/>
      <c r="D244" s="102"/>
      <c r="E244" s="44"/>
      <c r="F244" s="44"/>
      <c r="G244" s="44"/>
      <c r="H244" s="44"/>
      <c r="I244" s="44"/>
    </row>
    <row r="245" spans="1:9" ht="27" customHeight="1" x14ac:dyDescent="0.2">
      <c r="A245" s="44"/>
      <c r="B245" s="244" t="str">
        <f>Inschrijving!M32</f>
        <v>8. Wie scoort het eerste doelpunt voor Nederland?  (5 punten)</v>
      </c>
      <c r="C245" s="244"/>
      <c r="D245" s="245"/>
      <c r="E245" s="28" t="str">
        <f>MID(Inschrijving!N33,4,50)</f>
        <v/>
      </c>
      <c r="F245" s="35"/>
      <c r="G245" s="35"/>
      <c r="H245" s="36"/>
      <c r="I245" s="44"/>
    </row>
    <row r="246" spans="1:9" ht="20.100000000000001" customHeight="1" x14ac:dyDescent="0.2">
      <c r="A246" s="44"/>
      <c r="B246" s="102"/>
      <c r="C246" s="102"/>
      <c r="D246" s="102"/>
      <c r="E246" s="44"/>
      <c r="F246" s="44"/>
      <c r="G246" s="44"/>
      <c r="H246" s="44"/>
      <c r="I246" s="44"/>
    </row>
    <row r="247" spans="1:9" ht="27" customHeight="1" x14ac:dyDescent="0.2">
      <c r="A247" s="44"/>
      <c r="B247" s="244" t="str">
        <f>Inschrijving!M34</f>
        <v>9. Welke Nederlandse speler krijgt de eerste gele kaart?  (5 punten)</v>
      </c>
      <c r="C247" s="244"/>
      <c r="D247" s="245"/>
      <c r="E247" s="28" t="str">
        <f>MID(Inschrijving!N35,4,50)</f>
        <v/>
      </c>
      <c r="F247" s="35"/>
      <c r="G247" s="35"/>
      <c r="H247" s="36"/>
      <c r="I247" s="44"/>
    </row>
    <row r="248" spans="1:9" ht="20.100000000000001" customHeight="1" x14ac:dyDescent="0.2">
      <c r="A248" s="44"/>
      <c r="B248" s="102"/>
      <c r="C248" s="102"/>
      <c r="D248" s="102"/>
      <c r="E248" s="44"/>
      <c r="F248" s="44"/>
      <c r="G248" s="44"/>
      <c r="H248" s="44"/>
      <c r="I248" s="44"/>
    </row>
    <row r="249" spans="1:9" ht="27" customHeight="1" x14ac:dyDescent="0.2">
      <c r="A249" s="44"/>
      <c r="B249" s="244" t="str">
        <f>Inschrijving!M36</f>
        <v>10. Hoeveel doelpunten maakt Nederland in totaal?  (5 punten)</v>
      </c>
      <c r="C249" s="244"/>
      <c r="D249" s="245"/>
      <c r="E249" s="28" t="str">
        <f>IF(Inschrijving!N37="","",Inschrijving!N37)</f>
        <v/>
      </c>
      <c r="F249" s="35"/>
      <c r="G249" s="35"/>
      <c r="H249" s="36"/>
      <c r="I249" s="44"/>
    </row>
    <row r="250" spans="1:9" ht="20.100000000000001" customHeight="1" x14ac:dyDescent="0.2">
      <c r="A250" s="44"/>
      <c r="B250" s="102"/>
      <c r="C250" s="102"/>
      <c r="D250" s="102"/>
      <c r="E250" s="44"/>
      <c r="F250" s="44"/>
      <c r="G250" s="44"/>
      <c r="H250" s="44"/>
      <c r="I250" s="44"/>
    </row>
    <row r="251" spans="1:9" ht="27" customHeight="1" x14ac:dyDescent="0.2">
      <c r="A251" s="44"/>
      <c r="B251" s="244" t="str">
        <f>Inschrijving!M38</f>
        <v>11. Wie wordt topscoorder van Nederland?  (5 punten)</v>
      </c>
      <c r="C251" s="244"/>
      <c r="D251" s="245"/>
      <c r="E251" s="28" t="str">
        <f>MID(Inschrijving!N39,4,50)</f>
        <v/>
      </c>
      <c r="F251" s="35"/>
      <c r="G251" s="35"/>
      <c r="H251" s="36"/>
      <c r="I251" s="44"/>
    </row>
    <row r="252" spans="1:9" x14ac:dyDescent="0.2">
      <c r="A252" s="44"/>
      <c r="B252" s="122"/>
      <c r="C252" s="122"/>
      <c r="D252" s="122"/>
      <c r="E252" s="122"/>
      <c r="F252" s="122"/>
      <c r="G252" s="122"/>
      <c r="H252" s="122"/>
      <c r="I252" s="44"/>
    </row>
    <row r="253" spans="1:9" x14ac:dyDescent="0.2">
      <c r="A253" s="44"/>
      <c r="B253" s="102"/>
      <c r="C253" s="102"/>
      <c r="D253" s="102"/>
      <c r="E253" s="44"/>
      <c r="F253" s="44"/>
      <c r="G253" s="44"/>
      <c r="H253" s="207" t="str">
        <f>Inschrijving!W150</f>
        <v>v1.1</v>
      </c>
      <c r="I253" s="44"/>
    </row>
    <row r="254" spans="1:9" ht="1.5" customHeight="1" x14ac:dyDescent="0.2"/>
    <row r="260" ht="15" hidden="1" customHeight="1" x14ac:dyDescent="0.2"/>
    <row r="65622" spans="1:9" hidden="1" x14ac:dyDescent="0.2">
      <c r="A65622" s="45"/>
      <c r="B65622" s="45"/>
      <c r="C65622" s="45"/>
      <c r="D65622" s="45"/>
      <c r="E65622" s="45"/>
      <c r="F65622" s="45"/>
      <c r="G65622" s="45"/>
      <c r="H65622" s="45"/>
      <c r="I65622" s="45"/>
    </row>
  </sheetData>
  <protectedRanges>
    <protectedRange sqref="I3:I147" name="Bereik1"/>
    <protectedRange sqref="B3:H147" name="Bereik1_1"/>
  </protectedRanges>
  <mergeCells count="11">
    <mergeCell ref="B245:D245"/>
    <mergeCell ref="B247:D247"/>
    <mergeCell ref="B249:D249"/>
    <mergeCell ref="B251:D251"/>
    <mergeCell ref="B241:D241"/>
    <mergeCell ref="B243:D243"/>
    <mergeCell ref="B231:D231"/>
    <mergeCell ref="B233:D233"/>
    <mergeCell ref="B235:D235"/>
    <mergeCell ref="B237:D237"/>
    <mergeCell ref="B239:D239"/>
  </mergeCells>
  <phoneticPr fontId="30" type="noConversion"/>
  <conditionalFormatting sqref="B151:D151">
    <cfRule type="cellIs" dxfId="18" priority="4" stopIfTrue="1" operator="equal">
      <formula>"Nederland"</formula>
    </cfRule>
  </conditionalFormatting>
  <conditionalFormatting sqref="B185:D185">
    <cfRule type="cellIs" dxfId="17" priority="49" stopIfTrue="1" operator="equal">
      <formula>"Nederland"</formula>
    </cfRule>
  </conditionalFormatting>
  <conditionalFormatting sqref="B203:D203">
    <cfRule type="cellIs" dxfId="16" priority="16" stopIfTrue="1" operator="equal">
      <formula>"Nederland"</formula>
    </cfRule>
  </conditionalFormatting>
  <conditionalFormatting sqref="B213:D213">
    <cfRule type="cellIs" dxfId="15" priority="15" stopIfTrue="1" operator="equal">
      <formula>"Nederland"</formula>
    </cfRule>
  </conditionalFormatting>
  <conditionalFormatting sqref="B219:D219">
    <cfRule type="cellIs" dxfId="14" priority="14" stopIfTrue="1" operator="equal">
      <formula>"Nederland"</formula>
    </cfRule>
  </conditionalFormatting>
  <conditionalFormatting sqref="B221:D221">
    <cfRule type="cellIs" dxfId="13" priority="13" stopIfTrue="1" operator="equal">
      <formula>"Nederland"</formula>
    </cfRule>
  </conditionalFormatting>
  <conditionalFormatting sqref="B225:D225">
    <cfRule type="cellIs" dxfId="12" priority="12" stopIfTrue="1" operator="equal">
      <formula>"Nederland"</formula>
    </cfRule>
  </conditionalFormatting>
  <conditionalFormatting sqref="B230:D230">
    <cfRule type="cellIs" dxfId="11" priority="11" stopIfTrue="1" operator="equal">
      <formula>"Nederland"</formula>
    </cfRule>
  </conditionalFormatting>
  <conditionalFormatting sqref="E231">
    <cfRule type="cellIs" dxfId="10" priority="30" stopIfTrue="1" operator="equal">
      <formula>"Nederland"</formula>
    </cfRule>
  </conditionalFormatting>
  <conditionalFormatting sqref="E233">
    <cfRule type="cellIs" dxfId="9" priority="29" stopIfTrue="1" operator="equal">
      <formula>"Nederland"</formula>
    </cfRule>
  </conditionalFormatting>
  <conditionalFormatting sqref="E235">
    <cfRule type="cellIs" dxfId="8" priority="28" stopIfTrue="1" operator="equal">
      <formula>"Nederland"</formula>
    </cfRule>
  </conditionalFormatting>
  <conditionalFormatting sqref="E237">
    <cfRule type="cellIs" dxfId="7" priority="27" stopIfTrue="1" operator="equal">
      <formula>"Nederland"</formula>
    </cfRule>
  </conditionalFormatting>
  <conditionalFormatting sqref="E239">
    <cfRule type="cellIs" dxfId="6" priority="26" stopIfTrue="1" operator="equal">
      <formula>"Nederland"</formula>
    </cfRule>
  </conditionalFormatting>
  <conditionalFormatting sqref="E241">
    <cfRule type="cellIs" dxfId="5" priority="3" stopIfTrue="1" operator="equal">
      <formula>"Nederland"</formula>
    </cfRule>
  </conditionalFormatting>
  <conditionalFormatting sqref="E243">
    <cfRule type="cellIs" dxfId="4" priority="2" stopIfTrue="1" operator="equal">
      <formula>"Nederland"</formula>
    </cfRule>
  </conditionalFormatting>
  <conditionalFormatting sqref="E245">
    <cfRule type="cellIs" dxfId="3" priority="10" stopIfTrue="1" operator="equal">
      <formula>"Nederland"</formula>
    </cfRule>
  </conditionalFormatting>
  <conditionalFormatting sqref="E247">
    <cfRule type="cellIs" dxfId="2" priority="6" stopIfTrue="1" operator="equal">
      <formula>"Nederland"</formula>
    </cfRule>
  </conditionalFormatting>
  <conditionalFormatting sqref="E249">
    <cfRule type="cellIs" dxfId="1" priority="1" stopIfTrue="1" operator="equal">
      <formula>"Nederland"</formula>
    </cfRule>
  </conditionalFormatting>
  <conditionalFormatting sqref="E251">
    <cfRule type="cellIs" dxfId="0" priority="5" stopIfTrue="1" operator="equal">
      <formula>"Nederland"</formula>
    </cfRule>
  </conditionalFormatting>
  <pageMargins left="0.70866141732283472" right="0.70866141732283472" top="0.74803149606299213" bottom="0.74803149606299213" header="0.31496062992125984" footer="0.31496062992125984"/>
  <pageSetup paperSize="259" scale="96" orientation="portrait" verticalDpi="0" r:id="rId1"/>
  <ignoredErrors>
    <ignoredError sqref="B1 D1:E1 B3:B4 E3:E4 H3:H4 C4:D4 F4:G4" unlockedFormula="1"/>
  </ignoredErrors>
</worksheet>
</file>

<file path=docMetadata/LabelInfo.xml><?xml version="1.0" encoding="utf-8"?>
<clbl:labelList xmlns:clbl="http://schemas.microsoft.com/office/2020/mipLabelMetadata">
  <clbl:label id="{cdc477bf-b6e3-4345-b1be-3b225394e17e}" enabled="0" method="" siteId="{cdc477bf-b6e3-4345-b1be-3b225394e17e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4</vt:i4>
      </vt:variant>
      <vt:variant>
        <vt:lpstr>Benoemde bereiken</vt:lpstr>
      </vt:variant>
      <vt:variant>
        <vt:i4>47</vt:i4>
      </vt:variant>
    </vt:vector>
  </HeadingPairs>
  <TitlesOfParts>
    <vt:vector size="51" baseType="lpstr">
      <vt:lpstr>Inschrijving</vt:lpstr>
      <vt:lpstr>Groepsloting</vt:lpstr>
      <vt:lpstr>Stand Groepen</vt:lpstr>
      <vt:lpstr>Samenvatting</vt:lpstr>
      <vt:lpstr>Inschrijving!Afdrukbereik</vt:lpstr>
      <vt:lpstr>groepA</vt:lpstr>
      <vt:lpstr>groepAB</vt:lpstr>
      <vt:lpstr>groepABCDEF</vt:lpstr>
      <vt:lpstr>groepABCDEFGHI</vt:lpstr>
      <vt:lpstr>groepABCDF</vt:lpstr>
      <vt:lpstr>groepABCF</vt:lpstr>
      <vt:lpstr>groepABDEFGHIJ</vt:lpstr>
      <vt:lpstr>groepABDEFGHIJKL</vt:lpstr>
      <vt:lpstr>groepACEFHI</vt:lpstr>
      <vt:lpstr>groepACEFHIJKL</vt:lpstr>
      <vt:lpstr>groepAEGHIJ</vt:lpstr>
      <vt:lpstr>groepAEHIJ</vt:lpstr>
      <vt:lpstr>groepB</vt:lpstr>
      <vt:lpstr>groepBDEFGHIJKL</vt:lpstr>
      <vt:lpstr>groepBDEFIJ</vt:lpstr>
      <vt:lpstr>groepBEFGIJ</vt:lpstr>
      <vt:lpstr>groepBEFIJ</vt:lpstr>
      <vt:lpstr>groepBGJH</vt:lpstr>
      <vt:lpstr>groepC</vt:lpstr>
      <vt:lpstr>groepCDFGH</vt:lpstr>
      <vt:lpstr>groepCDFGHI</vt:lpstr>
      <vt:lpstr>groepCEFHI</vt:lpstr>
      <vt:lpstr>groepCEFI</vt:lpstr>
      <vt:lpstr>groepCF</vt:lpstr>
      <vt:lpstr>groepD</vt:lpstr>
      <vt:lpstr>groepDEIJKL</vt:lpstr>
      <vt:lpstr>groepDEIJL</vt:lpstr>
      <vt:lpstr>groepDG</vt:lpstr>
      <vt:lpstr>groepE</vt:lpstr>
      <vt:lpstr>groepEFGIJ</vt:lpstr>
      <vt:lpstr>groepEHIJK</vt:lpstr>
      <vt:lpstr>groepEHIJKL</vt:lpstr>
      <vt:lpstr>groepEI</vt:lpstr>
      <vt:lpstr>groepF</vt:lpstr>
      <vt:lpstr>groepG</vt:lpstr>
      <vt:lpstr>groepH</vt:lpstr>
      <vt:lpstr>groepHJ</vt:lpstr>
      <vt:lpstr>groepHJKL</vt:lpstr>
      <vt:lpstr>groepI</vt:lpstr>
      <vt:lpstr>groepJ</vt:lpstr>
      <vt:lpstr>groepK</vt:lpstr>
      <vt:lpstr>groepKL</vt:lpstr>
      <vt:lpstr>groepL</vt:lpstr>
      <vt:lpstr>Landen</vt:lpstr>
      <vt:lpstr>score</vt:lpstr>
      <vt:lpstr>toto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WK 2026 USA Mexico Canada</dc:title>
  <dc:creator/>
  <cp:lastModifiedBy/>
  <dcterms:created xsi:type="dcterms:W3CDTF">2026-05-17T11:45:35Z</dcterms:created>
  <dcterms:modified xsi:type="dcterms:W3CDTF">2026-05-27T18:36:48Z</dcterms:modified>
</cp:coreProperties>
</file>